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ate1904="1"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omilvento/Documents/EXCEL FILES/1 STAT Functions and Tables/1 REVISED/"/>
    </mc:Choice>
  </mc:AlternateContent>
  <xr:revisionPtr revIDLastSave="0" documentId="10_ncr:8100000_{0F249397-DD50-914E-8471-A527947B4B89}" xr6:coauthVersionLast="34" xr6:coauthVersionMax="34" xr10:uidLastSave="{00000000-0000-0000-0000-000000000000}"/>
  <bookViews>
    <workbookView xWindow="21120" yWindow="460" windowWidth="25380" windowHeight="27800" xr2:uid="{00000000-000D-0000-FFFF-FFFF00000000}"/>
  </bookViews>
  <sheets>
    <sheet name="C.I." sheetId="14" r:id="rId1"/>
    <sheet name="Mean" sheetId="13" r:id="rId2"/>
    <sheet name="Proportion" sheetId="12" r:id="rId3"/>
    <sheet name="Mean Large" sheetId="9" r:id="rId4"/>
    <sheet name="t-Table" sheetId="4" r:id="rId5"/>
    <sheet name="Normal Table" sheetId="3" r:id="rId6"/>
    <sheet name="Exp. t-Table" sheetId="6" r:id="rId7"/>
    <sheet name="prob of z or t" sheetId="1" r:id="rId8"/>
    <sheet name="z and t values" sheetId="2" r:id="rId9"/>
    <sheet name="Normal Plot" sheetId="5" r:id="rId10"/>
    <sheet name="BETA" sheetId="8" r:id="rId11"/>
  </sheets>
  <definedNames>
    <definedName name="Mean" localSheetId="1">Mean!#REF!</definedName>
    <definedName name="Mean" localSheetId="2">Proportion!#REF!</definedName>
    <definedName name="Mean">'Mean Large'!#REF!</definedName>
    <definedName name="Num" localSheetId="1">Mean!#REF!</definedName>
    <definedName name="Num" localSheetId="2">Proportion!#REF!</definedName>
    <definedName name="Num">'Mean Large'!#REF!</definedName>
    <definedName name="_xlnm.Print_Area" localSheetId="5">'Normal Table'!$A$1:$K$51</definedName>
    <definedName name="_xlnm.Print_Area" localSheetId="2">Proportion!$A$1:$C$30</definedName>
    <definedName name="_xlnm.Print_Area" localSheetId="4">'t-Table'!$A$1:$H$60</definedName>
    <definedName name="StdDev" localSheetId="1">Mean!#REF!</definedName>
    <definedName name="StdDev" localSheetId="2">Proportion!#REF!</definedName>
    <definedName name="StdDev">'Mean Large'!#REF!</definedName>
    <definedName name="x" localSheetId="1">Mean!#REF!</definedName>
    <definedName name="x" localSheetId="2">Proportion!#REF!</definedName>
    <definedName name="x">'Mean Large'!#REF!</definedName>
    <definedName name="Xmax" localSheetId="1">Mean!#REF!</definedName>
    <definedName name="Xmax" localSheetId="2">Proportion!#REF!</definedName>
    <definedName name="Xmax">'Mean Large'!#REF!</definedName>
    <definedName name="Xmin" localSheetId="1">Mean!#REF!</definedName>
    <definedName name="Xmin" localSheetId="2">Proportion!#REF!</definedName>
    <definedName name="Xmin">'Mean Large'!#REF!</definedName>
    <definedName name="z" localSheetId="1">Mean!$Q$3:$Q$64</definedName>
    <definedName name="z" localSheetId="2">Proportion!$R$4:$R$65</definedName>
    <definedName name="z">'Mean Large'!$M$4:$M$65</definedName>
    <definedName name="zmax" localSheetId="1">Mean!#REF!</definedName>
    <definedName name="zmax" localSheetId="2">Proportion!#REF!</definedName>
    <definedName name="zmax">'Mean Large'!#REF!</definedName>
    <definedName name="zmin" localSheetId="1">Mean!#REF!</definedName>
    <definedName name="zmin" localSheetId="2">Proportion!#REF!</definedName>
    <definedName name="zmin">'Mean Large'!#REF!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2" l="1"/>
  <c r="B10" i="12"/>
  <c r="D14" i="4"/>
  <c r="B25" i="13"/>
  <c r="B11" i="13"/>
  <c r="B12" i="13"/>
  <c r="B21" i="13"/>
  <c r="B22" i="13"/>
  <c r="B23" i="13"/>
  <c r="B10" i="13"/>
  <c r="B24" i="13"/>
  <c r="B26" i="13"/>
  <c r="B27" i="13"/>
  <c r="B28" i="13"/>
  <c r="E8" i="14"/>
  <c r="D18" i="14"/>
  <c r="D20" i="14" s="1"/>
  <c r="B20" i="14"/>
  <c r="D23" i="14"/>
  <c r="B9" i="14"/>
  <c r="D10" i="14"/>
  <c r="D11" i="14" s="1"/>
  <c r="G31" i="12"/>
  <c r="E29" i="12"/>
  <c r="G30" i="12"/>
  <c r="E28" i="12"/>
  <c r="E30" i="12"/>
  <c r="G28" i="12"/>
  <c r="C12" i="8"/>
  <c r="C5" i="8"/>
  <c r="C14" i="8"/>
  <c r="C19" i="8"/>
  <c r="C15" i="8"/>
  <c r="D19" i="8"/>
  <c r="C20" i="8"/>
  <c r="B12" i="8"/>
  <c r="B14" i="8"/>
  <c r="B19" i="8"/>
  <c r="B20" i="8"/>
  <c r="G15" i="5"/>
  <c r="E30" i="1"/>
  <c r="B30" i="1"/>
  <c r="B12" i="1"/>
  <c r="I9" i="1"/>
  <c r="I8" i="1"/>
  <c r="E9" i="1"/>
  <c r="E8" i="1"/>
  <c r="B67" i="6"/>
  <c r="B8" i="3"/>
  <c r="K42" i="3"/>
  <c r="J42" i="3"/>
  <c r="I42" i="3"/>
  <c r="H42" i="3"/>
  <c r="G42" i="3"/>
  <c r="F42" i="3"/>
  <c r="E42" i="3"/>
  <c r="D42" i="3"/>
  <c r="C42" i="3"/>
  <c r="B42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11" i="9"/>
  <c r="B13" i="9"/>
  <c r="B15" i="9"/>
  <c r="B66" i="9"/>
  <c r="B68" i="9"/>
  <c r="B70" i="9"/>
  <c r="B12" i="12"/>
  <c r="B13" i="12"/>
  <c r="V5" i="12" s="1"/>
  <c r="W6" i="12" s="1"/>
  <c r="X6" i="12" s="1"/>
  <c r="B15" i="12"/>
  <c r="C15" i="12" s="1"/>
  <c r="B22" i="12"/>
  <c r="B66" i="12"/>
  <c r="B68" i="12"/>
  <c r="B70" i="12"/>
  <c r="B19" i="9"/>
  <c r="B18" i="9"/>
  <c r="B19" i="12"/>
  <c r="B18" i="12"/>
  <c r="Q69" i="13"/>
  <c r="X4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Z64" i="13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T5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V65" i="9"/>
  <c r="Q5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S6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O65" i="9"/>
  <c r="N65" i="9"/>
  <c r="V64" i="9"/>
  <c r="S64" i="9"/>
  <c r="O64" i="9"/>
  <c r="N64" i="9"/>
  <c r="V63" i="9"/>
  <c r="S63" i="9"/>
  <c r="O63" i="9"/>
  <c r="N63" i="9"/>
  <c r="V62" i="9"/>
  <c r="S62" i="9"/>
  <c r="O62" i="9"/>
  <c r="N62" i="9"/>
  <c r="V61" i="9"/>
  <c r="S61" i="9"/>
  <c r="O61" i="9"/>
  <c r="N61" i="9"/>
  <c r="V60" i="9"/>
  <c r="S60" i="9"/>
  <c r="O60" i="9"/>
  <c r="N60" i="9"/>
  <c r="V59" i="9"/>
  <c r="S59" i="9"/>
  <c r="O59" i="9"/>
  <c r="N59" i="9"/>
  <c r="V58" i="9"/>
  <c r="S58" i="9"/>
  <c r="O58" i="9"/>
  <c r="N58" i="9"/>
  <c r="V57" i="9"/>
  <c r="S57" i="9"/>
  <c r="O57" i="9"/>
  <c r="N57" i="9"/>
  <c r="V56" i="9"/>
  <c r="S56" i="9"/>
  <c r="O56" i="9"/>
  <c r="N56" i="9"/>
  <c r="V55" i="9"/>
  <c r="S55" i="9"/>
  <c r="O55" i="9"/>
  <c r="N55" i="9"/>
  <c r="V54" i="9"/>
  <c r="S54" i="9"/>
  <c r="O54" i="9"/>
  <c r="N54" i="9"/>
  <c r="V53" i="9"/>
  <c r="S53" i="9"/>
  <c r="O53" i="9"/>
  <c r="N53" i="9"/>
  <c r="V52" i="9"/>
  <c r="S52" i="9"/>
  <c r="O52" i="9"/>
  <c r="N52" i="9"/>
  <c r="V51" i="9"/>
  <c r="S51" i="9"/>
  <c r="O51" i="9"/>
  <c r="N51" i="9"/>
  <c r="V50" i="9"/>
  <c r="S50" i="9"/>
  <c r="O50" i="9"/>
  <c r="N50" i="9"/>
  <c r="V49" i="9"/>
  <c r="S49" i="9"/>
  <c r="O49" i="9"/>
  <c r="N49" i="9"/>
  <c r="V48" i="9"/>
  <c r="S48" i="9"/>
  <c r="O48" i="9"/>
  <c r="N48" i="9"/>
  <c r="V47" i="9"/>
  <c r="S47" i="9"/>
  <c r="O47" i="9"/>
  <c r="N47" i="9"/>
  <c r="V46" i="9"/>
  <c r="S46" i="9"/>
  <c r="O46" i="9"/>
  <c r="N46" i="9"/>
  <c r="V45" i="9"/>
  <c r="S45" i="9"/>
  <c r="O45" i="9"/>
  <c r="N45" i="9"/>
  <c r="V44" i="9"/>
  <c r="S44" i="9"/>
  <c r="O44" i="9"/>
  <c r="N44" i="9"/>
  <c r="V43" i="9"/>
  <c r="S43" i="9"/>
  <c r="O43" i="9"/>
  <c r="N43" i="9"/>
  <c r="V42" i="9"/>
  <c r="S42" i="9"/>
  <c r="O42" i="9"/>
  <c r="N42" i="9"/>
  <c r="V41" i="9"/>
  <c r="S41" i="9"/>
  <c r="O41" i="9"/>
  <c r="N41" i="9"/>
  <c r="V40" i="9"/>
  <c r="S40" i="9"/>
  <c r="O40" i="9"/>
  <c r="N40" i="9"/>
  <c r="V39" i="9"/>
  <c r="S39" i="9"/>
  <c r="O39" i="9"/>
  <c r="N39" i="9"/>
  <c r="V38" i="9"/>
  <c r="S38" i="9"/>
  <c r="O38" i="9"/>
  <c r="N38" i="9"/>
  <c r="V37" i="9"/>
  <c r="S37" i="9"/>
  <c r="O37" i="9"/>
  <c r="N37" i="9"/>
  <c r="V36" i="9"/>
  <c r="S36" i="9"/>
  <c r="O36" i="9"/>
  <c r="N36" i="9"/>
  <c r="V35" i="9"/>
  <c r="S35" i="9"/>
  <c r="O35" i="9"/>
  <c r="N35" i="9"/>
  <c r="V34" i="9"/>
  <c r="S34" i="9"/>
  <c r="O34" i="9"/>
  <c r="N34" i="9"/>
  <c r="V33" i="9"/>
  <c r="S33" i="9"/>
  <c r="O33" i="9"/>
  <c r="N33" i="9"/>
  <c r="V32" i="9"/>
  <c r="S32" i="9"/>
  <c r="O32" i="9"/>
  <c r="N32" i="9"/>
  <c r="V31" i="9"/>
  <c r="S31" i="9"/>
  <c r="O31" i="9"/>
  <c r="N31" i="9"/>
  <c r="V30" i="9"/>
  <c r="S30" i="9"/>
  <c r="O30" i="9"/>
  <c r="N30" i="9"/>
  <c r="V29" i="9"/>
  <c r="S29" i="9"/>
  <c r="O29" i="9"/>
  <c r="N29" i="9"/>
  <c r="V28" i="9"/>
  <c r="S28" i="9"/>
  <c r="O28" i="9"/>
  <c r="N28" i="9"/>
  <c r="V27" i="9"/>
  <c r="S27" i="9"/>
  <c r="O27" i="9"/>
  <c r="N27" i="9"/>
  <c r="V26" i="9"/>
  <c r="S26" i="9"/>
  <c r="O26" i="9"/>
  <c r="N26" i="9"/>
  <c r="V25" i="9"/>
  <c r="S25" i="9"/>
  <c r="O25" i="9"/>
  <c r="N25" i="9"/>
  <c r="V24" i="9"/>
  <c r="S24" i="9"/>
  <c r="O24" i="9"/>
  <c r="N24" i="9"/>
  <c r="V23" i="9"/>
  <c r="S23" i="9"/>
  <c r="O23" i="9"/>
  <c r="N23" i="9"/>
  <c r="V22" i="9"/>
  <c r="S22" i="9"/>
  <c r="O22" i="9"/>
  <c r="N22" i="9"/>
  <c r="V21" i="9"/>
  <c r="S21" i="9"/>
  <c r="O21" i="9"/>
  <c r="N21" i="9"/>
  <c r="V20" i="9"/>
  <c r="S20" i="9"/>
  <c r="O20" i="9"/>
  <c r="N20" i="9"/>
  <c r="V19" i="9"/>
  <c r="S19" i="9"/>
  <c r="O19" i="9"/>
  <c r="N19" i="9"/>
  <c r="V18" i="9"/>
  <c r="S18" i="9"/>
  <c r="O18" i="9"/>
  <c r="N18" i="9"/>
  <c r="V17" i="9"/>
  <c r="S17" i="9"/>
  <c r="O17" i="9"/>
  <c r="N17" i="9"/>
  <c r="V16" i="9"/>
  <c r="S16" i="9"/>
  <c r="O16" i="9"/>
  <c r="N16" i="9"/>
  <c r="V15" i="9"/>
  <c r="S15" i="9"/>
  <c r="O15" i="9"/>
  <c r="N15" i="9"/>
  <c r="V14" i="9"/>
  <c r="S14" i="9"/>
  <c r="O14" i="9"/>
  <c r="N14" i="9"/>
  <c r="V13" i="9"/>
  <c r="S13" i="9"/>
  <c r="O13" i="9"/>
  <c r="N13" i="9"/>
  <c r="V12" i="9"/>
  <c r="S12" i="9"/>
  <c r="O12" i="9"/>
  <c r="N12" i="9"/>
  <c r="V11" i="9"/>
  <c r="S11" i="9"/>
  <c r="O11" i="9"/>
  <c r="N11" i="9"/>
  <c r="V10" i="9"/>
  <c r="S10" i="9"/>
  <c r="O10" i="9"/>
  <c r="N10" i="9"/>
  <c r="V9" i="9"/>
  <c r="S9" i="9"/>
  <c r="O9" i="9"/>
  <c r="N9" i="9"/>
  <c r="V8" i="9"/>
  <c r="S8" i="9"/>
  <c r="O8" i="9"/>
  <c r="N8" i="9"/>
  <c r="V7" i="9"/>
  <c r="S7" i="9"/>
  <c r="O7" i="9"/>
  <c r="N7" i="9"/>
  <c r="V6" i="9"/>
  <c r="S6" i="9"/>
  <c r="O6" i="9"/>
  <c r="N6" i="9"/>
  <c r="V5" i="9"/>
  <c r="S5" i="9"/>
  <c r="O5" i="9"/>
  <c r="N5" i="9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Y5" i="12"/>
  <c r="Z5" i="12"/>
  <c r="W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S38" i="12"/>
  <c r="T37" i="12"/>
  <c r="S37" i="12"/>
  <c r="T36" i="12"/>
  <c r="S36" i="12"/>
  <c r="T35" i="12"/>
  <c r="S35" i="12"/>
  <c r="T34" i="12"/>
  <c r="S34" i="12"/>
  <c r="T33" i="12"/>
  <c r="S33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T12" i="12"/>
  <c r="S12" i="12"/>
  <c r="T11" i="12"/>
  <c r="S11" i="12"/>
  <c r="T10" i="12"/>
  <c r="S10" i="12"/>
  <c r="T9" i="12"/>
  <c r="S9" i="12"/>
  <c r="T8" i="12"/>
  <c r="S8" i="12"/>
  <c r="T7" i="12"/>
  <c r="S7" i="12"/>
  <c r="T6" i="12"/>
  <c r="S6" i="12"/>
  <c r="AA5" i="12"/>
  <c r="X5" i="12"/>
  <c r="T5" i="12"/>
  <c r="S5" i="12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U4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W6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S64" i="13"/>
  <c r="R64" i="13"/>
  <c r="Z63" i="13"/>
  <c r="W63" i="13"/>
  <c r="S63" i="13"/>
  <c r="R63" i="13"/>
  <c r="Z62" i="13"/>
  <c r="W62" i="13"/>
  <c r="S62" i="13"/>
  <c r="R62" i="13"/>
  <c r="Z61" i="13"/>
  <c r="W61" i="13"/>
  <c r="S61" i="13"/>
  <c r="R61" i="13"/>
  <c r="Z60" i="13"/>
  <c r="W60" i="13"/>
  <c r="S60" i="13"/>
  <c r="R60" i="13"/>
  <c r="Z59" i="13"/>
  <c r="W59" i="13"/>
  <c r="S59" i="13"/>
  <c r="R59" i="13"/>
  <c r="Z58" i="13"/>
  <c r="W58" i="13"/>
  <c r="S58" i="13"/>
  <c r="R58" i="13"/>
  <c r="Z57" i="13"/>
  <c r="W57" i="13"/>
  <c r="S57" i="13"/>
  <c r="R57" i="13"/>
  <c r="Z56" i="13"/>
  <c r="W56" i="13"/>
  <c r="S56" i="13"/>
  <c r="R56" i="13"/>
  <c r="Z55" i="13"/>
  <c r="W55" i="13"/>
  <c r="S55" i="13"/>
  <c r="R55" i="13"/>
  <c r="Z54" i="13"/>
  <c r="W54" i="13"/>
  <c r="S54" i="13"/>
  <c r="R54" i="13"/>
  <c r="Z53" i="13"/>
  <c r="W53" i="13"/>
  <c r="S53" i="13"/>
  <c r="R53" i="13"/>
  <c r="Z52" i="13"/>
  <c r="W52" i="13"/>
  <c r="S52" i="13"/>
  <c r="R52" i="13"/>
  <c r="Z51" i="13"/>
  <c r="W51" i="13"/>
  <c r="S51" i="13"/>
  <c r="R51" i="13"/>
  <c r="Z50" i="13"/>
  <c r="W50" i="13"/>
  <c r="S50" i="13"/>
  <c r="R50" i="13"/>
  <c r="Z49" i="13"/>
  <c r="W49" i="13"/>
  <c r="S49" i="13"/>
  <c r="R49" i="13"/>
  <c r="Z48" i="13"/>
  <c r="W48" i="13"/>
  <c r="S48" i="13"/>
  <c r="R48" i="13"/>
  <c r="Z47" i="13"/>
  <c r="W47" i="13"/>
  <c r="S47" i="13"/>
  <c r="R47" i="13"/>
  <c r="Z46" i="13"/>
  <c r="W46" i="13"/>
  <c r="S46" i="13"/>
  <c r="R46" i="13"/>
  <c r="Z45" i="13"/>
  <c r="W45" i="13"/>
  <c r="S45" i="13"/>
  <c r="R45" i="13"/>
  <c r="Z44" i="13"/>
  <c r="W44" i="13"/>
  <c r="S44" i="13"/>
  <c r="R44" i="13"/>
  <c r="Z43" i="13"/>
  <c r="W43" i="13"/>
  <c r="S43" i="13"/>
  <c r="R43" i="13"/>
  <c r="Z42" i="13"/>
  <c r="W42" i="13"/>
  <c r="S42" i="13"/>
  <c r="R42" i="13"/>
  <c r="Z41" i="13"/>
  <c r="W41" i="13"/>
  <c r="S41" i="13"/>
  <c r="R41" i="13"/>
  <c r="Z40" i="13"/>
  <c r="W40" i="13"/>
  <c r="S40" i="13"/>
  <c r="R40" i="13"/>
  <c r="Z39" i="13"/>
  <c r="W39" i="13"/>
  <c r="S39" i="13"/>
  <c r="R39" i="13"/>
  <c r="Z38" i="13"/>
  <c r="W38" i="13"/>
  <c r="S38" i="13"/>
  <c r="R38" i="13"/>
  <c r="Z37" i="13"/>
  <c r="W37" i="13"/>
  <c r="S37" i="13"/>
  <c r="R37" i="13"/>
  <c r="Z36" i="13"/>
  <c r="W36" i="13"/>
  <c r="S36" i="13"/>
  <c r="R36" i="13"/>
  <c r="Z35" i="13"/>
  <c r="W35" i="13"/>
  <c r="S35" i="13"/>
  <c r="R35" i="13"/>
  <c r="Z34" i="13"/>
  <c r="W34" i="13"/>
  <c r="S34" i="13"/>
  <c r="R34" i="13"/>
  <c r="Z33" i="13"/>
  <c r="W33" i="13"/>
  <c r="S33" i="13"/>
  <c r="R33" i="13"/>
  <c r="Z32" i="13"/>
  <c r="W32" i="13"/>
  <c r="S32" i="13"/>
  <c r="R32" i="13"/>
  <c r="Z31" i="13"/>
  <c r="W31" i="13"/>
  <c r="S31" i="13"/>
  <c r="R31" i="13"/>
  <c r="Z30" i="13"/>
  <c r="W30" i="13"/>
  <c r="S30" i="13"/>
  <c r="R30" i="13"/>
  <c r="Z29" i="13"/>
  <c r="W29" i="13"/>
  <c r="S29" i="13"/>
  <c r="R29" i="13"/>
  <c r="Z28" i="13"/>
  <c r="W28" i="13"/>
  <c r="S28" i="13"/>
  <c r="R28" i="13"/>
  <c r="Z27" i="13"/>
  <c r="W27" i="13"/>
  <c r="S27" i="13"/>
  <c r="R27" i="13"/>
  <c r="Z26" i="13"/>
  <c r="W26" i="13"/>
  <c r="S26" i="13"/>
  <c r="R26" i="13"/>
  <c r="Z25" i="13"/>
  <c r="W25" i="13"/>
  <c r="S25" i="13"/>
  <c r="R25" i="13"/>
  <c r="Z24" i="13"/>
  <c r="W24" i="13"/>
  <c r="S24" i="13"/>
  <c r="R24" i="13"/>
  <c r="Z23" i="13"/>
  <c r="W23" i="13"/>
  <c r="S23" i="13"/>
  <c r="R23" i="13"/>
  <c r="Z22" i="13"/>
  <c r="W22" i="13"/>
  <c r="S22" i="13"/>
  <c r="R22" i="13"/>
  <c r="Z21" i="13"/>
  <c r="W21" i="13"/>
  <c r="S21" i="13"/>
  <c r="R21" i="13"/>
  <c r="Z20" i="13"/>
  <c r="W20" i="13"/>
  <c r="S20" i="13"/>
  <c r="R20" i="13"/>
  <c r="Z19" i="13"/>
  <c r="W19" i="13"/>
  <c r="S19" i="13"/>
  <c r="R19" i="13"/>
  <c r="Z18" i="13"/>
  <c r="W18" i="13"/>
  <c r="S18" i="13"/>
  <c r="R18" i="13"/>
  <c r="Z17" i="13"/>
  <c r="W17" i="13"/>
  <c r="S17" i="13"/>
  <c r="R17" i="13"/>
  <c r="Z16" i="13"/>
  <c r="W16" i="13"/>
  <c r="S16" i="13"/>
  <c r="R16" i="13"/>
  <c r="Z15" i="13"/>
  <c r="W15" i="13"/>
  <c r="S15" i="13"/>
  <c r="R15" i="13"/>
  <c r="Z14" i="13"/>
  <c r="W14" i="13"/>
  <c r="S14" i="13"/>
  <c r="R14" i="13"/>
  <c r="Z13" i="13"/>
  <c r="W13" i="13"/>
  <c r="S13" i="13"/>
  <c r="R13" i="13"/>
  <c r="Z12" i="13"/>
  <c r="W12" i="13"/>
  <c r="S12" i="13"/>
  <c r="R12" i="13"/>
  <c r="Z11" i="13"/>
  <c r="W11" i="13"/>
  <c r="S11" i="13"/>
  <c r="R11" i="13"/>
  <c r="Z10" i="13"/>
  <c r="W10" i="13"/>
  <c r="S10" i="13"/>
  <c r="R10" i="13"/>
  <c r="Z9" i="13"/>
  <c r="W9" i="13"/>
  <c r="S9" i="13"/>
  <c r="R9" i="13"/>
  <c r="Z8" i="13"/>
  <c r="W8" i="13"/>
  <c r="S8" i="13"/>
  <c r="R8" i="13"/>
  <c r="Z7" i="13"/>
  <c r="W7" i="13"/>
  <c r="S7" i="13"/>
  <c r="R7" i="13"/>
  <c r="Z6" i="13"/>
  <c r="W6" i="13"/>
  <c r="S6" i="13"/>
  <c r="R6" i="13"/>
  <c r="Z5" i="13"/>
  <c r="W5" i="13"/>
  <c r="S5" i="13"/>
  <c r="Z4" i="13"/>
  <c r="W4" i="13"/>
  <c r="S4" i="13"/>
  <c r="R5" i="13"/>
  <c r="R4" i="13"/>
  <c r="B14" i="13"/>
  <c r="B15" i="13"/>
  <c r="B17" i="13"/>
  <c r="C15" i="13"/>
  <c r="C14" i="13"/>
  <c r="C24" i="2"/>
  <c r="C23" i="2"/>
  <c r="C22" i="2"/>
  <c r="C21" i="2"/>
  <c r="C20" i="2"/>
  <c r="C19" i="2"/>
  <c r="C18" i="2"/>
  <c r="C17" i="2"/>
  <c r="I11" i="2"/>
  <c r="H11" i="2"/>
  <c r="I10" i="2"/>
  <c r="H10" i="2"/>
  <c r="I9" i="2"/>
  <c r="H9" i="2"/>
  <c r="I8" i="2"/>
  <c r="H8" i="2"/>
  <c r="I7" i="2"/>
  <c r="H7" i="2"/>
  <c r="H119" i="6"/>
  <c r="G119" i="6"/>
  <c r="F119" i="6"/>
  <c r="E119" i="6"/>
  <c r="D119" i="6"/>
  <c r="C119" i="6"/>
  <c r="B119" i="6"/>
  <c r="H118" i="6"/>
  <c r="G118" i="6"/>
  <c r="F118" i="6"/>
  <c r="E118" i="6"/>
  <c r="D118" i="6"/>
  <c r="C118" i="6"/>
  <c r="B118" i="6"/>
  <c r="H117" i="6"/>
  <c r="G117" i="6"/>
  <c r="F117" i="6"/>
  <c r="E117" i="6"/>
  <c r="D117" i="6"/>
  <c r="C117" i="6"/>
  <c r="B117" i="6"/>
  <c r="H116" i="6"/>
  <c r="G116" i="6"/>
  <c r="F116" i="6"/>
  <c r="E116" i="6"/>
  <c r="D116" i="6"/>
  <c r="C116" i="6"/>
  <c r="B116" i="6"/>
  <c r="H115" i="6"/>
  <c r="G115" i="6"/>
  <c r="F115" i="6"/>
  <c r="E115" i="6"/>
  <c r="D115" i="6"/>
  <c r="C115" i="6"/>
  <c r="B115" i="6"/>
  <c r="H114" i="6"/>
  <c r="G114" i="6"/>
  <c r="F114" i="6"/>
  <c r="E114" i="6"/>
  <c r="D114" i="6"/>
  <c r="C114" i="6"/>
  <c r="B114" i="6"/>
  <c r="H113" i="6"/>
  <c r="G113" i="6"/>
  <c r="F113" i="6"/>
  <c r="E113" i="6"/>
  <c r="D113" i="6"/>
  <c r="C113" i="6"/>
  <c r="B113" i="6"/>
  <c r="H112" i="6"/>
  <c r="G112" i="6"/>
  <c r="F112" i="6"/>
  <c r="E112" i="6"/>
  <c r="D112" i="6"/>
  <c r="C112" i="6"/>
  <c r="B112" i="6"/>
  <c r="H111" i="6"/>
  <c r="G111" i="6"/>
  <c r="F111" i="6"/>
  <c r="E111" i="6"/>
  <c r="D111" i="6"/>
  <c r="C111" i="6"/>
  <c r="B111" i="6"/>
  <c r="H110" i="6"/>
  <c r="G110" i="6"/>
  <c r="F110" i="6"/>
  <c r="E110" i="6"/>
  <c r="D110" i="6"/>
  <c r="C110" i="6"/>
  <c r="B110" i="6"/>
  <c r="H109" i="6"/>
  <c r="G109" i="6"/>
  <c r="F109" i="6"/>
  <c r="E109" i="6"/>
  <c r="D109" i="6"/>
  <c r="C109" i="6"/>
  <c r="B109" i="6"/>
  <c r="H108" i="6"/>
  <c r="G108" i="6"/>
  <c r="F108" i="6"/>
  <c r="E108" i="6"/>
  <c r="D108" i="6"/>
  <c r="C108" i="6"/>
  <c r="B108" i="6"/>
  <c r="H107" i="6"/>
  <c r="G107" i="6"/>
  <c r="F107" i="6"/>
  <c r="E107" i="6"/>
  <c r="D107" i="6"/>
  <c r="C107" i="6"/>
  <c r="B107" i="6"/>
  <c r="H106" i="6"/>
  <c r="G106" i="6"/>
  <c r="F106" i="6"/>
  <c r="E106" i="6"/>
  <c r="D106" i="6"/>
  <c r="C106" i="6"/>
  <c r="B106" i="6"/>
  <c r="H105" i="6"/>
  <c r="G105" i="6"/>
  <c r="F105" i="6"/>
  <c r="E105" i="6"/>
  <c r="D105" i="6"/>
  <c r="C105" i="6"/>
  <c r="B105" i="6"/>
  <c r="H104" i="6"/>
  <c r="G104" i="6"/>
  <c r="F104" i="6"/>
  <c r="E104" i="6"/>
  <c r="D104" i="6"/>
  <c r="C104" i="6"/>
  <c r="B104" i="6"/>
  <c r="H103" i="6"/>
  <c r="G103" i="6"/>
  <c r="F103" i="6"/>
  <c r="E103" i="6"/>
  <c r="D103" i="6"/>
  <c r="C103" i="6"/>
  <c r="B103" i="6"/>
  <c r="H102" i="6"/>
  <c r="G102" i="6"/>
  <c r="F102" i="6"/>
  <c r="E102" i="6"/>
  <c r="D102" i="6"/>
  <c r="C102" i="6"/>
  <c r="B102" i="6"/>
  <c r="H101" i="6"/>
  <c r="G101" i="6"/>
  <c r="F101" i="6"/>
  <c r="E101" i="6"/>
  <c r="D101" i="6"/>
  <c r="C101" i="6"/>
  <c r="B101" i="6"/>
  <c r="H100" i="6"/>
  <c r="G100" i="6"/>
  <c r="F100" i="6"/>
  <c r="E100" i="6"/>
  <c r="D100" i="6"/>
  <c r="C100" i="6"/>
  <c r="B100" i="6"/>
  <c r="H99" i="6"/>
  <c r="G99" i="6"/>
  <c r="F99" i="6"/>
  <c r="E99" i="6"/>
  <c r="D99" i="6"/>
  <c r="C99" i="6"/>
  <c r="B99" i="6"/>
  <c r="H98" i="6"/>
  <c r="G98" i="6"/>
  <c r="F98" i="6"/>
  <c r="E98" i="6"/>
  <c r="D98" i="6"/>
  <c r="C98" i="6"/>
  <c r="B98" i="6"/>
  <c r="H97" i="6"/>
  <c r="G97" i="6"/>
  <c r="F97" i="6"/>
  <c r="E97" i="6"/>
  <c r="D97" i="6"/>
  <c r="C97" i="6"/>
  <c r="B97" i="6"/>
  <c r="H96" i="6"/>
  <c r="G96" i="6"/>
  <c r="F96" i="6"/>
  <c r="E96" i="6"/>
  <c r="D96" i="6"/>
  <c r="C96" i="6"/>
  <c r="B96" i="6"/>
  <c r="H95" i="6"/>
  <c r="G95" i="6"/>
  <c r="F95" i="6"/>
  <c r="E95" i="6"/>
  <c r="D95" i="6"/>
  <c r="C95" i="6"/>
  <c r="B95" i="6"/>
  <c r="H94" i="6"/>
  <c r="G94" i="6"/>
  <c r="F94" i="6"/>
  <c r="E94" i="6"/>
  <c r="D94" i="6"/>
  <c r="C94" i="6"/>
  <c r="B94" i="6"/>
  <c r="H93" i="6"/>
  <c r="G93" i="6"/>
  <c r="F93" i="6"/>
  <c r="E93" i="6"/>
  <c r="D93" i="6"/>
  <c r="C93" i="6"/>
  <c r="B93" i="6"/>
  <c r="H92" i="6"/>
  <c r="G92" i="6"/>
  <c r="F92" i="6"/>
  <c r="E92" i="6"/>
  <c r="D92" i="6"/>
  <c r="C92" i="6"/>
  <c r="B92" i="6"/>
  <c r="H91" i="6"/>
  <c r="G91" i="6"/>
  <c r="F91" i="6"/>
  <c r="E91" i="6"/>
  <c r="D91" i="6"/>
  <c r="C91" i="6"/>
  <c r="B91" i="6"/>
  <c r="H90" i="6"/>
  <c r="G90" i="6"/>
  <c r="F90" i="6"/>
  <c r="E90" i="6"/>
  <c r="D90" i="6"/>
  <c r="C90" i="6"/>
  <c r="B90" i="6"/>
  <c r="H89" i="6"/>
  <c r="G89" i="6"/>
  <c r="F89" i="6"/>
  <c r="E89" i="6"/>
  <c r="D89" i="6"/>
  <c r="C89" i="6"/>
  <c r="B89" i="6"/>
  <c r="H88" i="6"/>
  <c r="G88" i="6"/>
  <c r="F88" i="6"/>
  <c r="E88" i="6"/>
  <c r="D88" i="6"/>
  <c r="C88" i="6"/>
  <c r="B88" i="6"/>
  <c r="H87" i="6"/>
  <c r="G87" i="6"/>
  <c r="F87" i="6"/>
  <c r="E87" i="6"/>
  <c r="D87" i="6"/>
  <c r="C87" i="6"/>
  <c r="B87" i="6"/>
  <c r="H86" i="6"/>
  <c r="G86" i="6"/>
  <c r="F86" i="6"/>
  <c r="E86" i="6"/>
  <c r="D86" i="6"/>
  <c r="C86" i="6"/>
  <c r="B86" i="6"/>
  <c r="H85" i="6"/>
  <c r="G85" i="6"/>
  <c r="F85" i="6"/>
  <c r="E85" i="6"/>
  <c r="D85" i="6"/>
  <c r="C85" i="6"/>
  <c r="B85" i="6"/>
  <c r="H84" i="6"/>
  <c r="G84" i="6"/>
  <c r="F84" i="6"/>
  <c r="E84" i="6"/>
  <c r="D84" i="6"/>
  <c r="C84" i="6"/>
  <c r="B84" i="6"/>
  <c r="H83" i="6"/>
  <c r="G83" i="6"/>
  <c r="F83" i="6"/>
  <c r="E83" i="6"/>
  <c r="D83" i="6"/>
  <c r="C83" i="6"/>
  <c r="B83" i="6"/>
  <c r="H82" i="6"/>
  <c r="G82" i="6"/>
  <c r="F82" i="6"/>
  <c r="E82" i="6"/>
  <c r="D82" i="6"/>
  <c r="C82" i="6"/>
  <c r="B82" i="6"/>
  <c r="H81" i="6"/>
  <c r="G81" i="6"/>
  <c r="F81" i="6"/>
  <c r="E81" i="6"/>
  <c r="D81" i="6"/>
  <c r="C81" i="6"/>
  <c r="B81" i="6"/>
  <c r="H80" i="6"/>
  <c r="G80" i="6"/>
  <c r="F80" i="6"/>
  <c r="E80" i="6"/>
  <c r="D80" i="6"/>
  <c r="C80" i="6"/>
  <c r="B80" i="6"/>
  <c r="H79" i="6"/>
  <c r="G79" i="6"/>
  <c r="F79" i="6"/>
  <c r="E79" i="6"/>
  <c r="D79" i="6"/>
  <c r="C79" i="6"/>
  <c r="B79" i="6"/>
  <c r="H78" i="6"/>
  <c r="G78" i="6"/>
  <c r="F78" i="6"/>
  <c r="E78" i="6"/>
  <c r="D78" i="6"/>
  <c r="C78" i="6"/>
  <c r="B78" i="6"/>
  <c r="H77" i="6"/>
  <c r="G77" i="6"/>
  <c r="F77" i="6"/>
  <c r="E77" i="6"/>
  <c r="D77" i="6"/>
  <c r="C77" i="6"/>
  <c r="B77" i="6"/>
  <c r="H76" i="6"/>
  <c r="G76" i="6"/>
  <c r="F76" i="6"/>
  <c r="E76" i="6"/>
  <c r="D76" i="6"/>
  <c r="C76" i="6"/>
  <c r="B76" i="6"/>
  <c r="H75" i="6"/>
  <c r="G75" i="6"/>
  <c r="F75" i="6"/>
  <c r="E75" i="6"/>
  <c r="D75" i="6"/>
  <c r="C75" i="6"/>
  <c r="B75" i="6"/>
  <c r="H74" i="6"/>
  <c r="G74" i="6"/>
  <c r="F74" i="6"/>
  <c r="E74" i="6"/>
  <c r="D74" i="6"/>
  <c r="C74" i="6"/>
  <c r="B74" i="6"/>
  <c r="H73" i="6"/>
  <c r="G73" i="6"/>
  <c r="F73" i="6"/>
  <c r="E73" i="6"/>
  <c r="D73" i="6"/>
  <c r="C73" i="6"/>
  <c r="B73" i="6"/>
  <c r="H72" i="6"/>
  <c r="G72" i="6"/>
  <c r="F72" i="6"/>
  <c r="E72" i="6"/>
  <c r="D72" i="6"/>
  <c r="C72" i="6"/>
  <c r="B72" i="6"/>
  <c r="H71" i="6"/>
  <c r="G71" i="6"/>
  <c r="F71" i="6"/>
  <c r="E71" i="6"/>
  <c r="D71" i="6"/>
  <c r="C71" i="6"/>
  <c r="B71" i="6"/>
  <c r="H70" i="6"/>
  <c r="G70" i="6"/>
  <c r="F70" i="6"/>
  <c r="E70" i="6"/>
  <c r="D70" i="6"/>
  <c r="C70" i="6"/>
  <c r="B70" i="6"/>
  <c r="H69" i="6"/>
  <c r="G69" i="6"/>
  <c r="F69" i="6"/>
  <c r="E69" i="6"/>
  <c r="D69" i="6"/>
  <c r="C69" i="6"/>
  <c r="B69" i="6"/>
  <c r="H68" i="6"/>
  <c r="G68" i="6"/>
  <c r="F68" i="6"/>
  <c r="E68" i="6"/>
  <c r="D68" i="6"/>
  <c r="C68" i="6"/>
  <c r="B68" i="6"/>
  <c r="H67" i="6"/>
  <c r="G67" i="6"/>
  <c r="F67" i="6"/>
  <c r="E67" i="6"/>
  <c r="D67" i="6"/>
  <c r="C67" i="6"/>
  <c r="H66" i="6"/>
  <c r="G66" i="6"/>
  <c r="F66" i="6"/>
  <c r="E66" i="6"/>
  <c r="D66" i="6"/>
  <c r="C66" i="6"/>
  <c r="B66" i="6"/>
  <c r="H65" i="6"/>
  <c r="G65" i="6"/>
  <c r="F65" i="6"/>
  <c r="E65" i="6"/>
  <c r="D65" i="6"/>
  <c r="C65" i="6"/>
  <c r="B65" i="6"/>
  <c r="H59" i="6"/>
  <c r="G59" i="6"/>
  <c r="F59" i="6"/>
  <c r="E59" i="6"/>
  <c r="D59" i="6"/>
  <c r="C59" i="6"/>
  <c r="B59" i="6"/>
  <c r="H58" i="6"/>
  <c r="G58" i="6"/>
  <c r="F58" i="6"/>
  <c r="E58" i="6"/>
  <c r="D58" i="6"/>
  <c r="C58" i="6"/>
  <c r="B58" i="6"/>
  <c r="H57" i="6"/>
  <c r="G57" i="6"/>
  <c r="F57" i="6"/>
  <c r="E57" i="6"/>
  <c r="D57" i="6"/>
  <c r="C57" i="6"/>
  <c r="B57" i="6"/>
  <c r="H56" i="6"/>
  <c r="G56" i="6"/>
  <c r="F56" i="6"/>
  <c r="E56" i="6"/>
  <c r="D56" i="6"/>
  <c r="C56" i="6"/>
  <c r="B56" i="6"/>
  <c r="H55" i="6"/>
  <c r="G55" i="6"/>
  <c r="F55" i="6"/>
  <c r="E55" i="6"/>
  <c r="D55" i="6"/>
  <c r="C55" i="6"/>
  <c r="B55" i="6"/>
  <c r="H54" i="6"/>
  <c r="G54" i="6"/>
  <c r="F54" i="6"/>
  <c r="E54" i="6"/>
  <c r="D54" i="6"/>
  <c r="C54" i="6"/>
  <c r="B54" i="6"/>
  <c r="H53" i="6"/>
  <c r="G53" i="6"/>
  <c r="F53" i="6"/>
  <c r="E53" i="6"/>
  <c r="D53" i="6"/>
  <c r="C53" i="6"/>
  <c r="B53" i="6"/>
  <c r="H52" i="6"/>
  <c r="G52" i="6"/>
  <c r="F52" i="6"/>
  <c r="E52" i="6"/>
  <c r="D52" i="6"/>
  <c r="C52" i="6"/>
  <c r="B52" i="6"/>
  <c r="H51" i="6"/>
  <c r="G51" i="6"/>
  <c r="F51" i="6"/>
  <c r="E51" i="6"/>
  <c r="D51" i="6"/>
  <c r="C51" i="6"/>
  <c r="B51" i="6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47" i="6"/>
  <c r="G47" i="6"/>
  <c r="F47" i="6"/>
  <c r="E47" i="6"/>
  <c r="D47" i="6"/>
  <c r="C47" i="6"/>
  <c r="B47" i="6"/>
  <c r="H46" i="6"/>
  <c r="G46" i="6"/>
  <c r="F46" i="6"/>
  <c r="E46" i="6"/>
  <c r="D46" i="6"/>
  <c r="C46" i="6"/>
  <c r="B46" i="6"/>
  <c r="H45" i="6"/>
  <c r="G45" i="6"/>
  <c r="F45" i="6"/>
  <c r="E45" i="6"/>
  <c r="D45" i="6"/>
  <c r="C45" i="6"/>
  <c r="B45" i="6"/>
  <c r="H44" i="6"/>
  <c r="G44" i="6"/>
  <c r="F44" i="6"/>
  <c r="E44" i="6"/>
  <c r="D44" i="6"/>
  <c r="C44" i="6"/>
  <c r="B44" i="6"/>
  <c r="H43" i="6"/>
  <c r="G43" i="6"/>
  <c r="F43" i="6"/>
  <c r="E43" i="6"/>
  <c r="D43" i="6"/>
  <c r="C43" i="6"/>
  <c r="B43" i="6"/>
  <c r="H42" i="6"/>
  <c r="G42" i="6"/>
  <c r="F42" i="6"/>
  <c r="E42" i="6"/>
  <c r="D42" i="6"/>
  <c r="C42" i="6"/>
  <c r="B42" i="6"/>
  <c r="H41" i="6"/>
  <c r="G41" i="6"/>
  <c r="F41" i="6"/>
  <c r="E41" i="6"/>
  <c r="D41" i="6"/>
  <c r="C41" i="6"/>
  <c r="B41" i="6"/>
  <c r="H40" i="6"/>
  <c r="G40" i="6"/>
  <c r="F40" i="6"/>
  <c r="E40" i="6"/>
  <c r="D40" i="6"/>
  <c r="C40" i="6"/>
  <c r="B40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H37" i="6"/>
  <c r="G37" i="6"/>
  <c r="F37" i="6"/>
  <c r="E37" i="6"/>
  <c r="D37" i="6"/>
  <c r="C37" i="6"/>
  <c r="B37" i="6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3" i="6"/>
  <c r="G33" i="6"/>
  <c r="F33" i="6"/>
  <c r="E33" i="6"/>
  <c r="D33" i="6"/>
  <c r="C33" i="6"/>
  <c r="B33" i="6"/>
  <c r="H32" i="6"/>
  <c r="G32" i="6"/>
  <c r="F32" i="6"/>
  <c r="E32" i="6"/>
  <c r="D32" i="6"/>
  <c r="C32" i="6"/>
  <c r="B32" i="6"/>
  <c r="H31" i="6"/>
  <c r="G31" i="6"/>
  <c r="F31" i="6"/>
  <c r="E31" i="6"/>
  <c r="D31" i="6"/>
  <c r="C31" i="6"/>
  <c r="B31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H26" i="6"/>
  <c r="G26" i="6"/>
  <c r="F26" i="6"/>
  <c r="E26" i="6"/>
  <c r="D26" i="6"/>
  <c r="C26" i="6"/>
  <c r="B26" i="6"/>
  <c r="H25" i="6"/>
  <c r="G25" i="6"/>
  <c r="F25" i="6"/>
  <c r="E25" i="6"/>
  <c r="D25" i="6"/>
  <c r="C25" i="6"/>
  <c r="B25" i="6"/>
  <c r="H24" i="6"/>
  <c r="G24" i="6"/>
  <c r="F24" i="6"/>
  <c r="E24" i="6"/>
  <c r="D24" i="6"/>
  <c r="C24" i="6"/>
  <c r="B24" i="6"/>
  <c r="H23" i="6"/>
  <c r="G23" i="6"/>
  <c r="F23" i="6"/>
  <c r="E23" i="6"/>
  <c r="D23" i="6"/>
  <c r="C23" i="6"/>
  <c r="B23" i="6"/>
  <c r="H22" i="6"/>
  <c r="G22" i="6"/>
  <c r="F22" i="6"/>
  <c r="E22" i="6"/>
  <c r="D22" i="6"/>
  <c r="C22" i="6"/>
  <c r="B22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F17" i="6"/>
  <c r="E17" i="6"/>
  <c r="D17" i="6"/>
  <c r="C17" i="6"/>
  <c r="B17" i="6"/>
  <c r="H16" i="6"/>
  <c r="G16" i="6"/>
  <c r="F16" i="6"/>
  <c r="E16" i="6"/>
  <c r="D16" i="6"/>
  <c r="C16" i="6"/>
  <c r="B16" i="6"/>
  <c r="H15" i="6"/>
  <c r="G15" i="6"/>
  <c r="F15" i="6"/>
  <c r="E15" i="6"/>
  <c r="D15" i="6"/>
  <c r="C15" i="6"/>
  <c r="B15" i="6"/>
  <c r="H14" i="6"/>
  <c r="G14" i="6"/>
  <c r="F14" i="6"/>
  <c r="E14" i="6"/>
  <c r="D14" i="6"/>
  <c r="C14" i="6"/>
  <c r="B14" i="6"/>
  <c r="H13" i="6"/>
  <c r="G13" i="6"/>
  <c r="F13" i="6"/>
  <c r="E13" i="6"/>
  <c r="D13" i="6"/>
  <c r="C13" i="6"/>
  <c r="B13" i="6"/>
  <c r="H12" i="6"/>
  <c r="G12" i="6"/>
  <c r="F12" i="6"/>
  <c r="E12" i="6"/>
  <c r="D12" i="6"/>
  <c r="C12" i="6"/>
  <c r="B12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B18" i="13"/>
  <c r="F1" i="5"/>
  <c r="C160" i="5"/>
  <c r="D160" i="5"/>
  <c r="C159" i="5"/>
  <c r="D159" i="5"/>
  <c r="C158" i="5"/>
  <c r="D158" i="5"/>
  <c r="C157" i="5"/>
  <c r="D157" i="5"/>
  <c r="C156" i="5"/>
  <c r="D156" i="5"/>
  <c r="C155" i="5"/>
  <c r="D155" i="5"/>
  <c r="C154" i="5"/>
  <c r="D154" i="5"/>
  <c r="C153" i="5"/>
  <c r="D153" i="5"/>
  <c r="C152" i="5"/>
  <c r="D152" i="5"/>
  <c r="C151" i="5"/>
  <c r="D151" i="5"/>
  <c r="C150" i="5"/>
  <c r="D150" i="5"/>
  <c r="C149" i="5"/>
  <c r="D149" i="5"/>
  <c r="C148" i="5"/>
  <c r="D148" i="5"/>
  <c r="C147" i="5"/>
  <c r="D147" i="5"/>
  <c r="C146" i="5"/>
  <c r="D146" i="5"/>
  <c r="C145" i="5"/>
  <c r="D145" i="5"/>
  <c r="C144" i="5"/>
  <c r="D144" i="5"/>
  <c r="C143" i="5"/>
  <c r="D143" i="5"/>
  <c r="C142" i="5"/>
  <c r="D142" i="5"/>
  <c r="C141" i="5"/>
  <c r="D141" i="5"/>
  <c r="C140" i="5"/>
  <c r="D140" i="5"/>
  <c r="C139" i="5"/>
  <c r="D139" i="5"/>
  <c r="C138" i="5"/>
  <c r="D138" i="5"/>
  <c r="C137" i="5"/>
  <c r="D137" i="5"/>
  <c r="C136" i="5"/>
  <c r="D136" i="5"/>
  <c r="C135" i="5"/>
  <c r="D135" i="5"/>
  <c r="C134" i="5"/>
  <c r="D134" i="5"/>
  <c r="C133" i="5"/>
  <c r="D133" i="5"/>
  <c r="C132" i="5"/>
  <c r="D132" i="5"/>
  <c r="C131" i="5"/>
  <c r="D131" i="5"/>
  <c r="C130" i="5"/>
  <c r="D130" i="5"/>
  <c r="C129" i="5"/>
  <c r="D129" i="5"/>
  <c r="C128" i="5"/>
  <c r="D128" i="5"/>
  <c r="C127" i="5"/>
  <c r="D127" i="5"/>
  <c r="C126" i="5"/>
  <c r="D126" i="5"/>
  <c r="C125" i="5"/>
  <c r="D125" i="5"/>
  <c r="C124" i="5"/>
  <c r="D124" i="5"/>
  <c r="C123" i="5"/>
  <c r="D123" i="5"/>
  <c r="C122" i="5"/>
  <c r="D122" i="5"/>
  <c r="C121" i="5"/>
  <c r="D121" i="5"/>
  <c r="C120" i="5"/>
  <c r="D120" i="5"/>
  <c r="C119" i="5"/>
  <c r="D119" i="5"/>
  <c r="C118" i="5"/>
  <c r="D118" i="5"/>
  <c r="C117" i="5"/>
  <c r="D117" i="5"/>
  <c r="C116" i="5"/>
  <c r="D116" i="5"/>
  <c r="C115" i="5"/>
  <c r="D115" i="5"/>
  <c r="C114" i="5"/>
  <c r="D114" i="5"/>
  <c r="C113" i="5"/>
  <c r="D113" i="5"/>
  <c r="C112" i="5"/>
  <c r="D112" i="5"/>
  <c r="C111" i="5"/>
  <c r="D111" i="5"/>
  <c r="C110" i="5"/>
  <c r="D110" i="5"/>
  <c r="C109" i="5"/>
  <c r="D109" i="5"/>
  <c r="C108" i="5"/>
  <c r="D108" i="5"/>
  <c r="C107" i="5"/>
  <c r="D107" i="5"/>
  <c r="C106" i="5"/>
  <c r="D106" i="5"/>
  <c r="C105" i="5"/>
  <c r="D105" i="5"/>
  <c r="C104" i="5"/>
  <c r="D104" i="5"/>
  <c r="C103" i="5"/>
  <c r="D103" i="5"/>
  <c r="C102" i="5"/>
  <c r="D102" i="5"/>
  <c r="C101" i="5"/>
  <c r="D101" i="5"/>
  <c r="C100" i="5"/>
  <c r="D100" i="5"/>
  <c r="C99" i="5"/>
  <c r="D99" i="5"/>
  <c r="C98" i="5"/>
  <c r="D98" i="5"/>
  <c r="C97" i="5"/>
  <c r="D97" i="5"/>
  <c r="C96" i="5"/>
  <c r="D96" i="5"/>
  <c r="C95" i="5"/>
  <c r="D95" i="5"/>
  <c r="C94" i="5"/>
  <c r="D94" i="5"/>
  <c r="C93" i="5"/>
  <c r="D93" i="5"/>
  <c r="C92" i="5"/>
  <c r="D92" i="5"/>
  <c r="C91" i="5"/>
  <c r="D91" i="5"/>
  <c r="C90" i="5"/>
  <c r="D90" i="5"/>
  <c r="C89" i="5"/>
  <c r="D89" i="5"/>
  <c r="C88" i="5"/>
  <c r="D88" i="5"/>
  <c r="C87" i="5"/>
  <c r="D87" i="5"/>
  <c r="C86" i="5"/>
  <c r="D86" i="5"/>
  <c r="C85" i="5"/>
  <c r="D85" i="5"/>
  <c r="C84" i="5"/>
  <c r="D84" i="5"/>
  <c r="C83" i="5"/>
  <c r="D83" i="5"/>
  <c r="C82" i="5"/>
  <c r="D82" i="5"/>
  <c r="C81" i="5"/>
  <c r="D81" i="5"/>
  <c r="C80" i="5"/>
  <c r="D80" i="5"/>
  <c r="C79" i="5"/>
  <c r="D79" i="5"/>
  <c r="C78" i="5"/>
  <c r="D78" i="5"/>
  <c r="C77" i="5"/>
  <c r="D77" i="5"/>
  <c r="C76" i="5"/>
  <c r="D76" i="5"/>
  <c r="C75" i="5"/>
  <c r="D75" i="5"/>
  <c r="C74" i="5"/>
  <c r="D74" i="5"/>
  <c r="C73" i="5"/>
  <c r="D73" i="5"/>
  <c r="C72" i="5"/>
  <c r="D72" i="5"/>
  <c r="C71" i="5"/>
  <c r="D71" i="5"/>
  <c r="C70" i="5"/>
  <c r="D70" i="5"/>
  <c r="C69" i="5"/>
  <c r="D69" i="5"/>
  <c r="C68" i="5"/>
  <c r="D68" i="5"/>
  <c r="C67" i="5"/>
  <c r="D67" i="5"/>
  <c r="C66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B11" i="2"/>
  <c r="D11" i="2"/>
  <c r="C11" i="2"/>
  <c r="B10" i="2"/>
  <c r="D10" i="2"/>
  <c r="C10" i="2"/>
  <c r="B9" i="2"/>
  <c r="D9" i="2"/>
  <c r="C9" i="2"/>
  <c r="B8" i="2"/>
  <c r="D8" i="2"/>
  <c r="C8" i="2"/>
  <c r="B7" i="2"/>
  <c r="D7" i="2"/>
  <c r="C7" i="2"/>
  <c r="B21" i="1"/>
  <c r="B26" i="9"/>
  <c r="B28" i="9"/>
  <c r="B25" i="12"/>
  <c r="B27" i="12"/>
  <c r="B23" i="14"/>
  <c r="B24" i="14" s="1"/>
  <c r="C10" i="14"/>
  <c r="E34" i="12"/>
  <c r="C11" i="14"/>
  <c r="C12" i="14" s="1"/>
  <c r="B21" i="14"/>
  <c r="B22" i="14"/>
  <c r="C15" i="9"/>
  <c r="B16" i="9"/>
  <c r="C16" i="9"/>
  <c r="C18" i="9"/>
  <c r="C19" i="9"/>
  <c r="B23" i="9"/>
  <c r="B24" i="9"/>
  <c r="B25" i="9"/>
  <c r="B27" i="9"/>
  <c r="B29" i="9"/>
  <c r="B30" i="9"/>
  <c r="B31" i="9"/>
  <c r="B64" i="9"/>
  <c r="B65" i="9"/>
  <c r="M70" i="9"/>
  <c r="B71" i="9"/>
  <c r="M134" i="9"/>
  <c r="C17" i="13"/>
  <c r="C18" i="13"/>
  <c r="B29" i="13"/>
  <c r="Q133" i="13"/>
  <c r="B11" i="12"/>
  <c r="C18" i="12"/>
  <c r="C19" i="12"/>
  <c r="B23" i="12"/>
  <c r="B24" i="12"/>
  <c r="B64" i="12"/>
  <c r="B65" i="12"/>
  <c r="R70" i="12"/>
  <c r="B71" i="12"/>
  <c r="R134" i="12"/>
  <c r="B22" i="1"/>
  <c r="K27" i="1"/>
  <c r="C30" i="1"/>
  <c r="F30" i="1"/>
  <c r="G7" i="2"/>
  <c r="G8" i="2"/>
  <c r="G9" i="2"/>
  <c r="G10" i="2"/>
  <c r="G11" i="2"/>
  <c r="G12" i="5"/>
  <c r="G13" i="5"/>
  <c r="G14" i="5"/>
  <c r="G16" i="5"/>
  <c r="G17" i="5"/>
  <c r="B21" i="8"/>
  <c r="C21" i="8"/>
  <c r="C13" i="14" l="1"/>
  <c r="D12" i="14"/>
  <c r="D13" i="14"/>
  <c r="D21" i="14"/>
  <c r="D22" i="14" s="1"/>
  <c r="D24" i="14" s="1"/>
  <c r="D25" i="14" s="1"/>
  <c r="B26" i="14"/>
  <c r="B25" i="14"/>
  <c r="B26" i="12"/>
  <c r="B28" i="12" s="1"/>
  <c r="B29" i="12"/>
  <c r="B30" i="12"/>
  <c r="B16" i="12"/>
  <c r="C16" i="12" s="1"/>
  <c r="W7" i="12"/>
  <c r="X7" i="12" s="1"/>
  <c r="Z6" i="12"/>
  <c r="AA6" i="12" s="1"/>
  <c r="D26" i="14" l="1"/>
  <c r="Z7" i="12"/>
  <c r="AA7" i="12" s="1"/>
  <c r="W8" i="12"/>
  <c r="X8" i="12" s="1"/>
  <c r="Z8" i="12"/>
  <c r="W9" i="12"/>
  <c r="X9" i="12" l="1"/>
  <c r="W10" i="12"/>
  <c r="AA8" i="12"/>
  <c r="Z9" i="12"/>
  <c r="AA9" i="12" l="1"/>
  <c r="Z10" i="12"/>
  <c r="X10" i="12"/>
  <c r="W11" i="12"/>
  <c r="AA10" i="12" l="1"/>
  <c r="Z11" i="12"/>
  <c r="X11" i="12"/>
  <c r="W12" i="12"/>
  <c r="W13" i="12" l="1"/>
  <c r="X12" i="12"/>
  <c r="AA11" i="12"/>
  <c r="Z12" i="12"/>
  <c r="AA12" i="12" l="1"/>
  <c r="Z13" i="12"/>
  <c r="X13" i="12"/>
  <c r="W14" i="12"/>
  <c r="AA13" i="12" l="1"/>
  <c r="Z14" i="12"/>
  <c r="X14" i="12"/>
  <c r="W15" i="12"/>
  <c r="X15" i="12" l="1"/>
  <c r="W16" i="12"/>
  <c r="AA14" i="12"/>
  <c r="Z15" i="12"/>
  <c r="AA15" i="12" l="1"/>
  <c r="Z16" i="12"/>
  <c r="X16" i="12"/>
  <c r="W17" i="12"/>
  <c r="X17" i="12" l="1"/>
  <c r="W18" i="12"/>
  <c r="AA16" i="12"/>
  <c r="Z17" i="12"/>
  <c r="AA17" i="12" l="1"/>
  <c r="Z18" i="12"/>
  <c r="X18" i="12"/>
  <c r="W19" i="12"/>
  <c r="X19" i="12" l="1"/>
  <c r="W20" i="12"/>
  <c r="AA18" i="12"/>
  <c r="Z19" i="12"/>
  <c r="AA19" i="12" l="1"/>
  <c r="Z20" i="12"/>
  <c r="W21" i="12"/>
  <c r="X20" i="12"/>
  <c r="X21" i="12" l="1"/>
  <c r="W22" i="12"/>
  <c r="AA20" i="12"/>
  <c r="Z21" i="12"/>
  <c r="AA21" i="12" l="1"/>
  <c r="Z22" i="12"/>
  <c r="X22" i="12"/>
  <c r="W23" i="12"/>
  <c r="X23" i="12" l="1"/>
  <c r="W24" i="12"/>
  <c r="AA22" i="12"/>
  <c r="Z23" i="12"/>
  <c r="AA23" i="12" l="1"/>
  <c r="Z24" i="12"/>
  <c r="X24" i="12"/>
  <c r="W25" i="12"/>
  <c r="X25" i="12" l="1"/>
  <c r="W26" i="12"/>
  <c r="AA24" i="12"/>
  <c r="Z25" i="12"/>
  <c r="AA25" i="12" l="1"/>
  <c r="Z26" i="12"/>
  <c r="X26" i="12"/>
  <c r="W27" i="12"/>
  <c r="X27" i="12" l="1"/>
  <c r="W28" i="12"/>
  <c r="AA26" i="12"/>
  <c r="Z27" i="12"/>
  <c r="W29" i="12" l="1"/>
  <c r="X28" i="12"/>
  <c r="AA27" i="12"/>
  <c r="Z28" i="12"/>
  <c r="AA28" i="12" l="1"/>
  <c r="Z29" i="12"/>
  <c r="X29" i="12"/>
  <c r="W30" i="12"/>
  <c r="X30" i="12" l="1"/>
  <c r="W31" i="12"/>
  <c r="AA29" i="12"/>
  <c r="Z30" i="12"/>
  <c r="AA30" i="12" l="1"/>
  <c r="Z31" i="12"/>
  <c r="X31" i="12"/>
  <c r="W32" i="12"/>
  <c r="X32" i="12" l="1"/>
  <c r="W33" i="12"/>
  <c r="AA31" i="12"/>
  <c r="Z32" i="12"/>
  <c r="AA32" i="12" l="1"/>
  <c r="Z33" i="12"/>
  <c r="X33" i="12"/>
  <c r="W34" i="12"/>
  <c r="X34" i="12" l="1"/>
  <c r="W35" i="12"/>
  <c r="AA33" i="12"/>
  <c r="Z34" i="12"/>
  <c r="AA34" i="12" l="1"/>
  <c r="Z35" i="12"/>
  <c r="X35" i="12"/>
  <c r="W36" i="12"/>
  <c r="W37" i="12" l="1"/>
  <c r="X36" i="12"/>
  <c r="AA35" i="12"/>
  <c r="Z36" i="12"/>
  <c r="AA36" i="12" l="1"/>
  <c r="Z37" i="12"/>
  <c r="X37" i="12"/>
  <c r="W38" i="12"/>
  <c r="X38" i="12" l="1"/>
  <c r="W39" i="12"/>
  <c r="AA37" i="12"/>
  <c r="Z38" i="12"/>
  <c r="AA38" i="12" l="1"/>
  <c r="Z39" i="12"/>
  <c r="X39" i="12"/>
  <c r="W40" i="12"/>
  <c r="X40" i="12" l="1"/>
  <c r="W41" i="12"/>
  <c r="AA39" i="12"/>
  <c r="Z40" i="12"/>
  <c r="AA40" i="12" l="1"/>
  <c r="Z41" i="12"/>
  <c r="X41" i="12"/>
  <c r="W42" i="12"/>
  <c r="X42" i="12" l="1"/>
  <c r="W43" i="12"/>
  <c r="AA41" i="12"/>
  <c r="Z42" i="12"/>
  <c r="AA42" i="12" l="1"/>
  <c r="Z43" i="12"/>
  <c r="X43" i="12"/>
  <c r="W44" i="12"/>
  <c r="W45" i="12" l="1"/>
  <c r="X44" i="12"/>
  <c r="AA43" i="12"/>
  <c r="Z44" i="12"/>
  <c r="AA44" i="12" l="1"/>
  <c r="Z45" i="12"/>
  <c r="X45" i="12"/>
  <c r="W46" i="12"/>
  <c r="X46" i="12" l="1"/>
  <c r="W47" i="12"/>
  <c r="AA45" i="12"/>
  <c r="Z46" i="12"/>
  <c r="AA46" i="12" l="1"/>
  <c r="Z47" i="12"/>
  <c r="X47" i="12"/>
  <c r="W48" i="12"/>
  <c r="X48" i="12" l="1"/>
  <c r="W49" i="12"/>
  <c r="AA47" i="12"/>
  <c r="Z48" i="12"/>
  <c r="AA48" i="12" l="1"/>
  <c r="Z49" i="12"/>
  <c r="X49" i="12"/>
  <c r="W50" i="12"/>
  <c r="X50" i="12" l="1"/>
  <c r="W51" i="12"/>
  <c r="AA49" i="12"/>
  <c r="Z50" i="12"/>
  <c r="AA50" i="12" l="1"/>
  <c r="Z51" i="12"/>
  <c r="X51" i="12"/>
  <c r="W52" i="12"/>
  <c r="W53" i="12" l="1"/>
  <c r="X52" i="12"/>
  <c r="AA51" i="12"/>
  <c r="Z52" i="12"/>
  <c r="AA52" i="12" l="1"/>
  <c r="Z53" i="12"/>
  <c r="X53" i="12"/>
  <c r="W54" i="12"/>
  <c r="X54" i="12" l="1"/>
  <c r="W55" i="12"/>
  <c r="AA53" i="12"/>
  <c r="Z54" i="12"/>
  <c r="AA54" i="12" l="1"/>
  <c r="Z55" i="12"/>
  <c r="X55" i="12"/>
  <c r="W56" i="12"/>
  <c r="X56" i="12" l="1"/>
  <c r="W57" i="12"/>
  <c r="AA55" i="12"/>
  <c r="Z56" i="12"/>
  <c r="AA56" i="12" l="1"/>
  <c r="Z57" i="12"/>
  <c r="X57" i="12"/>
  <c r="W58" i="12"/>
  <c r="X58" i="12" l="1"/>
  <c r="W59" i="12"/>
  <c r="AA57" i="12"/>
  <c r="Z58" i="12"/>
  <c r="AA58" i="12" l="1"/>
  <c r="Z59" i="12"/>
  <c r="X59" i="12"/>
  <c r="W60" i="12"/>
  <c r="W61" i="12" l="1"/>
  <c r="X60" i="12"/>
  <c r="AA59" i="12"/>
  <c r="Z60" i="12"/>
  <c r="AA60" i="12" l="1"/>
  <c r="Z61" i="12"/>
  <c r="X61" i="12"/>
  <c r="W62" i="12"/>
  <c r="X62" i="12" l="1"/>
  <c r="W63" i="12"/>
  <c r="AA61" i="12"/>
  <c r="Z62" i="12"/>
  <c r="AA62" i="12" l="1"/>
  <c r="Z63" i="12"/>
  <c r="X63" i="12"/>
  <c r="W64" i="12"/>
  <c r="X64" i="12" l="1"/>
  <c r="W65" i="12"/>
  <c r="X65" i="12" s="1"/>
  <c r="AA63" i="12"/>
  <c r="Z64" i="12"/>
  <c r="AA64" i="12" l="1"/>
  <c r="Z65" i="12"/>
  <c r="AA6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3" authorId="0" shapeId="0" xr:uid="{00000000-0006-0000-0100-000001000000}">
      <text>
        <r>
          <rPr>
            <sz val="8"/>
            <color indexed="81"/>
            <rFont val="Tahoma"/>
            <family val="2"/>
          </rPr>
          <t>Cumulative Probability Distribution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4" authorId="0" shapeId="0" xr:uid="{00000000-0006-0000-0200-000001000000}">
      <text>
        <r>
          <rPr>
            <sz val="8"/>
            <color indexed="81"/>
            <rFont val="Tahoma"/>
            <family val="2"/>
          </rPr>
          <t>Cumulative Probability Distribution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W Ilvento</author>
    <author>作者</author>
  </authors>
  <commentList>
    <comment ref="D2" authorId="0" shapeId="0" xr:uid="{00000000-0006-0000-0300-000001000000}">
      <text>
        <r>
          <rPr>
            <b/>
            <sz val="9"/>
            <color indexed="81"/>
            <rFont val="Arial"/>
            <family val="2"/>
          </rPr>
          <t>Thomas W Ilvento:</t>
        </r>
        <r>
          <rPr>
            <sz val="9"/>
            <color indexed="81"/>
            <rFont val="Arial"/>
            <family val="2"/>
          </rPr>
          <t xml:space="preserve">
These are problems using sample standard deviation but still using a z-value.  This is for teaching only.  Researchers should use a t-value in this case.</t>
        </r>
      </text>
    </comment>
    <comment ref="O4" authorId="1" shapeId="0" xr:uid="{00000000-0006-0000-0300-000002000000}">
      <text>
        <r>
          <rPr>
            <sz val="8"/>
            <color indexed="81"/>
            <rFont val="Tahoma"/>
            <family val="2"/>
          </rPr>
          <t>Cumulative Probability Distribution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tilvento</author>
  </authors>
  <commentList>
    <comment ref="A1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tilvento:</t>
        </r>
        <r>
          <rPr>
            <sz val="8"/>
            <color indexed="81"/>
            <rFont val="Tahoma"/>
            <family val="2"/>
          </rPr>
          <t xml:space="preserve">
A number from 1 to n, the sample size
</t>
        </r>
      </text>
    </comment>
    <comment ref="B10" authorId="0" shapeId="0" xr:uid="{00000000-0006-0000-0900-000002000000}">
      <text>
        <r>
          <rPr>
            <b/>
            <sz val="11"/>
            <color indexed="81"/>
            <rFont val="Tahoma"/>
            <family val="2"/>
          </rPr>
          <t>tilvento:</t>
        </r>
        <r>
          <rPr>
            <sz val="11"/>
            <color indexed="81"/>
            <rFont val="Tahoma"/>
            <family val="2"/>
          </rPr>
          <t xml:space="preserve">
The data you wish to plot, sorted from lowest to highest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tilvento: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The normal probability calculation
= (index - .375)/(n + .25)</t>
        </r>
      </text>
    </comment>
    <comment ref="D10" authorId="0" shapeId="0" xr:uid="{00000000-0006-0000-0900-000004000000}">
      <text>
        <r>
          <rPr>
            <b/>
            <sz val="11"/>
            <color indexed="81"/>
            <rFont val="Tahoma"/>
            <family val="2"/>
          </rPr>
          <t>tilvento:</t>
        </r>
        <r>
          <rPr>
            <sz val="11"/>
            <color indexed="81"/>
            <rFont val="Tahoma"/>
            <family val="2"/>
          </rPr>
          <t xml:space="preserve">
The z-score that corresponds to the probability in column C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ilvento</author>
  </authors>
  <commentList>
    <comment ref="C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ilvento:</t>
        </r>
        <r>
          <rPr>
            <sz val="8"/>
            <color indexed="81"/>
            <rFont val="Tahoma"/>
            <family val="2"/>
          </rPr>
          <t xml:space="preserve">
Standard Error of the Mean</t>
        </r>
      </text>
    </comment>
  </commentList>
</comments>
</file>

<file path=xl/sharedStrings.xml><?xml version="1.0" encoding="utf-8"?>
<sst xmlns="http://schemas.openxmlformats.org/spreadsheetml/2006/main" count="321" uniqueCount="162">
  <si>
    <t>Prepared by Tom Ilvento using statistical functions in Excel version 2008</t>
  </si>
  <si>
    <t>Variance</t>
  </si>
  <si>
    <t>Alpha Value</t>
  </si>
  <si>
    <t>Conclusion</t>
  </si>
  <si>
    <t>Standard Normal Curve Probability Distribution</t>
  </si>
  <si>
    <t>1-tailed Critical Value</t>
  </si>
  <si>
    <t>2-tailed Critical Value</t>
  </si>
  <si>
    <t>Note:  For any sample mean less than these values, we would not reject the null hypothesis</t>
  </si>
  <si>
    <t>too small</t>
  </si>
  <si>
    <t>Comparison of a z and t value as the Sample Size Gets Larger</t>
  </si>
  <si>
    <t>The Value of z or t for a 95% C.I.</t>
  </si>
  <si>
    <t>Confidence Interval using Standard Normal</t>
  </si>
  <si>
    <t>Mean</t>
  </si>
  <si>
    <t xml:space="preserve"> z &lt; -1.96 or z &gt; 1.96</t>
  </si>
  <si>
    <t xml:space="preserve">      Two Tailed</t>
  </si>
  <si>
    <t>z</t>
  </si>
  <si>
    <t>Data Statistics</t>
  </si>
  <si>
    <t>Count</t>
  </si>
  <si>
    <t>Max</t>
  </si>
  <si>
    <t>Min</t>
  </si>
  <si>
    <t>Median</t>
  </si>
  <si>
    <t>1 - alpha</t>
  </si>
  <si>
    <t>Two-tail</t>
  </si>
  <si>
    <t xml:space="preserve">Alpha Level  </t>
  </si>
  <si>
    <t>z-values</t>
  </si>
  <si>
    <t>t-values</t>
  </si>
  <si>
    <t>Sample size</t>
  </si>
  <si>
    <t>Common Values of z and t</t>
  </si>
  <si>
    <t>Data</t>
  </si>
  <si>
    <t>Calc</t>
  </si>
  <si>
    <t>Z-score</t>
  </si>
  <si>
    <t>Thw worksheet will do a count of your data in cell F1, but you should check it (the worksheet is set up for a sample size up to 150)</t>
  </si>
  <si>
    <t>Shade Right Calculations</t>
  </si>
  <si>
    <t>Sample std dev</t>
  </si>
  <si>
    <r>
      <t xml:space="preserve">A histogram is provided below the probability plot.  You will have to make this each time using the </t>
    </r>
    <r>
      <rPr>
        <b/>
        <sz val="10"/>
        <rFont val="Arial"/>
        <family val="2"/>
      </rPr>
      <t>Tools    Data Analysis</t>
    </r>
    <r>
      <rPr>
        <sz val="10"/>
        <rFont val="Arial"/>
        <family val="2"/>
      </rPr>
      <t xml:space="preserve">   Option</t>
    </r>
  </si>
  <si>
    <t>Hypothesis Test using t-distribution</t>
  </si>
  <si>
    <t>Step 3: Find the probability less than Cell B14(15) in the standard Normal Distribution if the value in Cell B8 is the true Mean</t>
    <phoneticPr fontId="16" type="noConversion"/>
  </si>
  <si>
    <t>Based on Absoluet Value of z-score</t>
  </si>
  <si>
    <t xml:space="preserve">Establish an alternative value of mu from which to calculate Beta </t>
  </si>
  <si>
    <t xml:space="preserve">   z &lt; -1.28</t>
  </si>
  <si>
    <t>Area in One Tail</t>
  </si>
  <si>
    <t>Std Deviation</t>
  </si>
  <si>
    <t>Prepared by Tom Ilvento using statistical functions in Excel version 2008</t>
    <phoneticPr fontId="0" type="noConversion"/>
  </si>
  <si>
    <t>p-value  2-tailed</t>
  </si>
  <si>
    <t>Sample Mean</t>
  </si>
  <si>
    <t>one-tailed</t>
  </si>
  <si>
    <t>Two-tailed</t>
  </si>
  <si>
    <t>Calculating the probability for a particular value of X</t>
  </si>
  <si>
    <t>Confidence Interval using t distribution</t>
  </si>
  <si>
    <t>Z-value</t>
  </si>
  <si>
    <t>Hypothesis Test using Standard Normal</t>
  </si>
  <si>
    <t>Items in red are values you need to enter</t>
  </si>
  <si>
    <t>To use this file to construct a nomal probability plot for a variable up to n=150, do the following steps.</t>
  </si>
  <si>
    <t>One-tailed</t>
  </si>
  <si>
    <t>Proportion</t>
  </si>
  <si>
    <t>P(&gt; |X|)</t>
  </si>
  <si>
    <t xml:space="preserve">   z &lt; -2.33</t>
  </si>
  <si>
    <t>Based on Absoluet Value of t-distribution-score</t>
  </si>
  <si>
    <t xml:space="preserve">   z &gt; 2.33</t>
  </si>
  <si>
    <t>Sample Proportion</t>
  </si>
  <si>
    <t>T.S.</t>
  </si>
  <si>
    <t>Values in red are cells that you need to supply information.</t>
  </si>
  <si>
    <t>Calculating a particular value of X at a Specified Percentile for a Normal Distribution</t>
  </si>
  <si>
    <t>Based on z-values</t>
  </si>
  <si>
    <t>Based on t-values</t>
  </si>
  <si>
    <t>Z</t>
  </si>
  <si>
    <t>Null Value</t>
  </si>
  <si>
    <t>Standard Deviation</t>
  </si>
  <si>
    <t>Normal Probability Plot</t>
  </si>
  <si>
    <t>Index</t>
  </si>
  <si>
    <t>The standard deviation of the problem</t>
  </si>
  <si>
    <t>Sample Size</t>
  </si>
  <si>
    <t>Standard Error</t>
  </si>
  <si>
    <t xml:space="preserve">   and degrees of freedom.   The degrees of freedom are the rows.</t>
  </si>
  <si>
    <t>Area in Two Tails</t>
  </si>
  <si>
    <t>d.f.</t>
  </si>
  <si>
    <t>Sample size of the problem</t>
  </si>
  <si>
    <t>Values in blue are the answers</t>
  </si>
  <si>
    <t>p- values of z and t</t>
  </si>
  <si>
    <t>One-tail</t>
  </si>
  <si>
    <t>Test statistic</t>
  </si>
  <si>
    <t>1-tail</t>
  </si>
  <si>
    <t>2-tail</t>
  </si>
  <si>
    <t>The data should be sorted from lowest to highest</t>
  </si>
  <si>
    <t>For a Proportion</t>
  </si>
  <si>
    <t>Bin</t>
  </si>
  <si>
    <t>More</t>
  </si>
  <si>
    <t>Frequency</t>
  </si>
  <si>
    <t xml:space="preserve">   The table is based on the upper right 1/2 of the Normal Distribution; total area shown is .5</t>
  </si>
  <si>
    <t xml:space="preserve">   The probabilities up to the Z-score are in the cells </t>
  </si>
  <si>
    <t>probaility of Beta</t>
  </si>
  <si>
    <t xml:space="preserve">   z &lt; -1.645</t>
  </si>
  <si>
    <t>Power of the test (1-Beta)</t>
  </si>
  <si>
    <t>Std Dev</t>
  </si>
  <si>
    <t xml:space="preserve">   z &gt; 1.645</t>
  </si>
  <si>
    <t>Std Error</t>
  </si>
  <si>
    <t>p 1-tailed</t>
  </si>
  <si>
    <t>p 2-tailed</t>
  </si>
  <si>
    <t>Alpha level</t>
  </si>
  <si>
    <t>Critical Value</t>
  </si>
  <si>
    <t>P(mu &lt; |X|)</t>
  </si>
  <si>
    <t>Percentile</t>
  </si>
  <si>
    <r>
      <t>f</t>
    </r>
    <r>
      <rPr>
        <b/>
        <sz val="10"/>
        <rFont val="Verdana"/>
        <family val="2"/>
      </rPr>
      <t>(</t>
    </r>
    <r>
      <rPr>
        <b/>
        <i/>
        <sz val="10"/>
        <rFont val="Verdana"/>
        <family val="2"/>
      </rPr>
      <t>x</t>
    </r>
    <r>
      <rPr>
        <b/>
        <sz val="10"/>
        <rFont val="Verdana"/>
        <family val="2"/>
      </rPr>
      <t>)</t>
    </r>
  </si>
  <si>
    <t>F(x)</t>
  </si>
  <si>
    <t>Alpha Level</t>
  </si>
  <si>
    <t>Step 1: calculate the z-score at the boundry</t>
  </si>
  <si>
    <t>value at percentile</t>
  </si>
  <si>
    <t xml:space="preserve">N = </t>
  </si>
  <si>
    <t>Normal and t-Distribution Tables</t>
  </si>
  <si>
    <t>z score</t>
  </si>
  <si>
    <t>Proportion Hypothesis Test and Confidence Interval</t>
  </si>
  <si>
    <t>Enter the data in column B, starting in row 10</t>
  </si>
  <si>
    <t xml:space="preserve"> Axis</t>
  </si>
  <si>
    <t>The hypothesized mean of the problem</t>
  </si>
  <si>
    <t>Using Z</t>
  </si>
  <si>
    <t>Using t</t>
  </si>
  <si>
    <t>PROPORTION</t>
  </si>
  <si>
    <t>Items in red need to be entered by you</t>
    <phoneticPr fontId="22" type="noConversion"/>
  </si>
  <si>
    <t xml:space="preserve">   The table shows the critical t-values for a given alpha level (one-tailed or two-tailed)  </t>
  </si>
  <si>
    <t>Lower Tailed</t>
  </si>
  <si>
    <t>alpha = .10</t>
  </si>
  <si>
    <t>alpha = .05</t>
  </si>
  <si>
    <t>alpha = .01</t>
  </si>
  <si>
    <t>Step 2: Solve for the mean sample value where we would reject Ho</t>
  </si>
  <si>
    <t>Sample Size (n)</t>
  </si>
  <si>
    <t>Confidence Level</t>
  </si>
  <si>
    <t>BOE</t>
  </si>
  <si>
    <t>Lower</t>
  </si>
  <si>
    <t>Upper</t>
  </si>
  <si>
    <t>Z or t-value</t>
  </si>
  <si>
    <t>MEAN</t>
  </si>
  <si>
    <t>Calculating Beta, Type II error</t>
  </si>
  <si>
    <t>Shade left calculations</t>
  </si>
  <si>
    <t>P(rt)</t>
  </si>
  <si>
    <t>P(lt)</t>
  </si>
  <si>
    <t>p-value  1-tailed</t>
  </si>
  <si>
    <t>Upper Tailed</t>
  </si>
  <si>
    <t>z-score</t>
  </si>
  <si>
    <t xml:space="preserve">   z &gt; 1.28</t>
  </si>
  <si>
    <t>Critical Values of t-Distribution</t>
  </si>
  <si>
    <t>Alternative Hypothesis</t>
  </si>
  <si>
    <t xml:space="preserve"> z &lt; -1.645 or z &gt; 1.645</t>
  </si>
  <si>
    <t>A plot will be made for Z-score (Y axis) and the Data (X-axis).  You may have to adjust the exact source of the data to reflect the sample size.</t>
  </si>
  <si>
    <t>Value of X</t>
  </si>
  <si>
    <t xml:space="preserve">   The Z-score values are represented by the column value + row value, up to two decimal places</t>
  </si>
  <si>
    <t>v</t>
  </si>
  <si>
    <t>Infinity</t>
  </si>
  <si>
    <t>Rejection regions for Common Values of Alpha</t>
  </si>
  <si>
    <t>t-value</t>
  </si>
  <si>
    <t>Sample Variance</t>
  </si>
  <si>
    <t>Single Mean or Proportion Confidence Interval Worksheet</t>
  </si>
  <si>
    <t>Small Sample Hypothesis Test and Confidence Interval, Sigma Unknown</t>
  </si>
  <si>
    <t>T.S. z*</t>
  </si>
  <si>
    <t>T.S.   t*</t>
  </si>
  <si>
    <t>1-tailed Critical t Value</t>
  </si>
  <si>
    <t>2-tailed Critical t Value</t>
  </si>
  <si>
    <t>This problem uses a z-value.  Either sigma is known, or used for Teaching purposes only</t>
  </si>
  <si>
    <t>Sigma Known or Large Sample Hypothesis Test and Confidence Interval</t>
  </si>
  <si>
    <t xml:space="preserve"> z &lt; -2.576 or z &gt; 2.576</t>
  </si>
  <si>
    <t>Number of X's</t>
  </si>
  <si>
    <t>Enter the data as a propportion of the number of successes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</si>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</sst>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"/>
    <numFmt numFmtId="166" formatCode="0.000"/>
    <numFmt numFmtId="167" formatCode="0.0"/>
    <numFmt numFmtId="168" formatCode="0.0%"/>
    <numFmt numFmtId="169" formatCode="0.000000"/>
    <numFmt numFmtId="170" formatCode="0.0000000"/>
    <numFmt numFmtId="171" formatCode="0.00000000"/>
    <numFmt numFmtId="172" formatCode="0.000000000"/>
  </numFmts>
  <fonts count="4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i/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rgb="FFFF0000"/>
      <name val="Arial"/>
      <family val="2"/>
    </font>
    <font>
      <b/>
      <sz val="14"/>
      <color rgb="FF0432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>
        <bgColor indexed="22"/>
      </patternFill>
    </fill>
    <fill>
      <patternFill patternType="solid">
        <fgColor indexed="43"/>
        <bgColor indexed="64"/>
      </patternFill>
    </fill>
    <fill>
      <patternFill patternType="gray0625"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rgb="FFFFFFC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164" fontId="5" fillId="0" borderId="0" xfId="0" applyNumberFormat="1" applyFont="1"/>
    <xf numFmtId="0" fontId="2" fillId="0" borderId="0" xfId="0" applyFont="1" applyAlignment="1">
      <alignment horizontal="right"/>
    </xf>
    <xf numFmtId="0" fontId="6" fillId="2" borderId="0" xfId="0" applyFont="1" applyFill="1"/>
    <xf numFmtId="164" fontId="3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0" fillId="0" borderId="0" xfId="0" applyFill="1"/>
    <xf numFmtId="0" fontId="2" fillId="0" borderId="0" xfId="0" applyFont="1" applyFill="1" applyAlignment="1">
      <alignment horizontal="right"/>
    </xf>
    <xf numFmtId="164" fontId="0" fillId="0" borderId="0" xfId="0" applyNumberFormat="1"/>
    <xf numFmtId="0" fontId="8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7" fontId="8" fillId="0" borderId="2" xfId="0" applyNumberFormat="1" applyFont="1" applyBorder="1"/>
    <xf numFmtId="167" fontId="8" fillId="0" borderId="3" xfId="0" applyNumberFormat="1" applyFont="1" applyBorder="1"/>
    <xf numFmtId="164" fontId="8" fillId="0" borderId="1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3" xfId="0" applyFont="1" applyBorder="1"/>
    <xf numFmtId="166" fontId="0" fillId="0" borderId="5" xfId="0" applyNumberFormat="1" applyBorder="1"/>
    <xf numFmtId="0" fontId="8" fillId="0" borderId="2" xfId="0" applyFont="1" applyBorder="1" applyAlignment="1">
      <alignment horizontal="center"/>
    </xf>
    <xf numFmtId="164" fontId="8" fillId="0" borderId="6" xfId="0" applyNumberFormat="1" applyFont="1" applyBorder="1"/>
    <xf numFmtId="0" fontId="8" fillId="3" borderId="4" xfId="0" applyFont="1" applyFill="1" applyBorder="1" applyAlignment="1">
      <alignment horizontal="right"/>
    </xf>
    <xf numFmtId="166" fontId="8" fillId="3" borderId="7" xfId="0" applyNumberFormat="1" applyFont="1" applyFill="1" applyBorder="1"/>
    <xf numFmtId="0" fontId="9" fillId="0" borderId="0" xfId="0" applyFont="1"/>
    <xf numFmtId="0" fontId="7" fillId="0" borderId="0" xfId="0" applyFont="1"/>
    <xf numFmtId="0" fontId="7" fillId="0" borderId="0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2" xfId="0" applyFont="1" applyBorder="1"/>
    <xf numFmtId="0" fontId="9" fillId="0" borderId="9" xfId="0" applyFont="1" applyBorder="1"/>
    <xf numFmtId="0" fontId="9" fillId="0" borderId="3" xfId="0" applyFont="1" applyBorder="1"/>
    <xf numFmtId="0" fontId="9" fillId="0" borderId="1" xfId="0" applyFont="1" applyBorder="1"/>
    <xf numFmtId="0" fontId="9" fillId="0" borderId="10" xfId="0" applyFont="1" applyBorder="1"/>
    <xf numFmtId="0" fontId="9" fillId="0" borderId="4" xfId="0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0" applyNumberFormat="1"/>
    <xf numFmtId="0" fontId="10" fillId="0" borderId="0" xfId="0" applyFont="1"/>
    <xf numFmtId="0" fontId="11" fillId="0" borderId="0" xfId="0" applyFont="1"/>
    <xf numFmtId="3" fontId="0" fillId="0" borderId="0" xfId="0" applyNumberFormat="1"/>
    <xf numFmtId="0" fontId="7" fillId="4" borderId="0" xfId="0" applyFont="1" applyFill="1"/>
    <xf numFmtId="0" fontId="0" fillId="4" borderId="0" xfId="0" applyFill="1"/>
    <xf numFmtId="165" fontId="0" fillId="0" borderId="0" xfId="0" applyNumberFormat="1"/>
    <xf numFmtId="168" fontId="12" fillId="0" borderId="0" xfId="1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168" fontId="10" fillId="0" borderId="0" xfId="0" applyNumberFormat="1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15" fillId="0" borderId="12" xfId="0" applyFont="1" applyFill="1" applyBorder="1" applyAlignment="1">
      <alignment horizontal="center"/>
    </xf>
    <xf numFmtId="166" fontId="0" fillId="0" borderId="0" xfId="0" applyNumberFormat="1" applyFill="1" applyBorder="1" applyAlignment="1"/>
    <xf numFmtId="0" fontId="5" fillId="2" borderId="0" xfId="0" applyFont="1" applyFill="1"/>
    <xf numFmtId="167" fontId="8" fillId="0" borderId="0" xfId="0" applyNumberFormat="1" applyFont="1" applyBorder="1"/>
    <xf numFmtId="0" fontId="16" fillId="0" borderId="0" xfId="0" applyFont="1"/>
    <xf numFmtId="0" fontId="17" fillId="0" borderId="0" xfId="0" applyFont="1"/>
    <xf numFmtId="166" fontId="10" fillId="0" borderId="0" xfId="0" applyNumberFormat="1" applyFont="1"/>
    <xf numFmtId="164" fontId="10" fillId="0" borderId="0" xfId="0" applyNumberFormat="1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wrapText="1"/>
    </xf>
    <xf numFmtId="166" fontId="10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0" fontId="18" fillId="0" borderId="0" xfId="0" applyFont="1"/>
    <xf numFmtId="1" fontId="4" fillId="0" borderId="0" xfId="0" applyNumberFormat="1" applyFont="1"/>
    <xf numFmtId="0" fontId="0" fillId="0" borderId="1" xfId="0" applyBorder="1"/>
    <xf numFmtId="165" fontId="3" fillId="0" borderId="0" xfId="0" applyNumberFormat="1" applyFont="1"/>
    <xf numFmtId="165" fontId="2" fillId="0" borderId="0" xfId="0" applyNumberFormat="1" applyFont="1"/>
    <xf numFmtId="0" fontId="8" fillId="5" borderId="4" xfId="0" applyFont="1" applyFill="1" applyBorder="1" applyAlignment="1">
      <alignment horizontal="right"/>
    </xf>
    <xf numFmtId="166" fontId="8" fillId="5" borderId="7" xfId="0" applyNumberFormat="1" applyFont="1" applyFill="1" applyBorder="1"/>
    <xf numFmtId="0" fontId="7" fillId="0" borderId="0" xfId="0" applyFont="1" applyAlignment="1">
      <alignment horizontal="right"/>
    </xf>
    <xf numFmtId="0" fontId="21" fillId="6" borderId="1" xfId="0" applyFont="1" applyFill="1" applyBorder="1" applyAlignment="1">
      <alignment horizontal="center"/>
    </xf>
    <xf numFmtId="2" fontId="0" fillId="0" borderId="0" xfId="0" applyNumberFormat="1"/>
    <xf numFmtId="170" fontId="0" fillId="0" borderId="0" xfId="0" applyNumberFormat="1"/>
    <xf numFmtId="169" fontId="0" fillId="0" borderId="0" xfId="0" applyNumberFormat="1"/>
    <xf numFmtId="172" fontId="0" fillId="0" borderId="0" xfId="0" applyNumberFormat="1"/>
    <xf numFmtId="2" fontId="17" fillId="0" borderId="0" xfId="0" applyNumberFormat="1" applyFont="1"/>
    <xf numFmtId="2" fontId="10" fillId="0" borderId="0" xfId="0" applyNumberFormat="1" applyFont="1"/>
    <xf numFmtId="0" fontId="21" fillId="6" borderId="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left"/>
    </xf>
    <xf numFmtId="0" fontId="24" fillId="0" borderId="0" xfId="0" applyFont="1"/>
    <xf numFmtId="164" fontId="17" fillId="0" borderId="0" xfId="0" applyNumberFormat="1" applyFont="1"/>
    <xf numFmtId="166" fontId="24" fillId="0" borderId="0" xfId="0" applyNumberFormat="1" applyFont="1"/>
    <xf numFmtId="0" fontId="8" fillId="4" borderId="0" xfId="0" applyFont="1" applyFill="1" applyAlignment="1">
      <alignment horizontal="right"/>
    </xf>
    <xf numFmtId="2" fontId="10" fillId="4" borderId="0" xfId="0" applyNumberFormat="1" applyFont="1" applyFill="1"/>
    <xf numFmtId="164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166" fontId="10" fillId="4" borderId="0" xfId="0" applyNumberFormat="1" applyFont="1" applyFill="1"/>
    <xf numFmtId="0" fontId="8" fillId="4" borderId="0" xfId="0" applyFont="1" applyFill="1"/>
    <xf numFmtId="0" fontId="1" fillId="4" borderId="0" xfId="0" applyFont="1" applyFill="1"/>
    <xf numFmtId="0" fontId="8" fillId="4" borderId="0" xfId="0" applyFont="1" applyFill="1" applyAlignment="1">
      <alignment horizontal="center"/>
    </xf>
    <xf numFmtId="0" fontId="9" fillId="0" borderId="0" xfId="0" applyFont="1" applyFill="1" applyBorder="1"/>
    <xf numFmtId="0" fontId="25" fillId="0" borderId="0" xfId="0" applyFont="1"/>
    <xf numFmtId="0" fontId="2" fillId="4" borderId="0" xfId="0" applyFont="1" applyFill="1" applyAlignment="1">
      <alignment horizontal="right"/>
    </xf>
    <xf numFmtId="0" fontId="4" fillId="4" borderId="0" xfId="0" applyFont="1" applyFill="1"/>
    <xf numFmtId="166" fontId="5" fillId="4" borderId="0" xfId="0" applyNumberFormat="1" applyFont="1" applyFill="1"/>
    <xf numFmtId="164" fontId="5" fillId="4" borderId="0" xfId="0" applyNumberFormat="1" applyFont="1" applyFill="1"/>
    <xf numFmtId="0" fontId="28" fillId="0" borderId="0" xfId="0" applyFont="1"/>
    <xf numFmtId="0" fontId="2" fillId="4" borderId="0" xfId="0" applyFont="1" applyFill="1" applyAlignment="1">
      <alignment horizontal="center"/>
    </xf>
    <xf numFmtId="0" fontId="6" fillId="0" borderId="0" xfId="0" applyFont="1"/>
    <xf numFmtId="0" fontId="29" fillId="0" borderId="0" xfId="0" applyFont="1"/>
    <xf numFmtId="0" fontId="30" fillId="0" borderId="0" xfId="0" applyFont="1"/>
    <xf numFmtId="166" fontId="30" fillId="0" borderId="0" xfId="0" applyNumberFormat="1" applyFont="1"/>
    <xf numFmtId="166" fontId="28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28" fillId="0" borderId="0" xfId="0" applyNumberFormat="1" applyFont="1"/>
    <xf numFmtId="0" fontId="6" fillId="4" borderId="0" xfId="0" applyFont="1" applyFill="1" applyAlignment="1">
      <alignment horizontal="right"/>
    </xf>
    <xf numFmtId="0" fontId="30" fillId="4" borderId="0" xfId="0" applyFont="1" applyFill="1"/>
    <xf numFmtId="2" fontId="28" fillId="4" borderId="0" xfId="0" applyNumberFormat="1" applyFont="1" applyFill="1"/>
    <xf numFmtId="166" fontId="28" fillId="4" borderId="0" xfId="0" applyNumberFormat="1" applyFont="1" applyFill="1"/>
    <xf numFmtId="164" fontId="29" fillId="0" borderId="0" xfId="0" applyNumberFormat="1" applyFont="1"/>
    <xf numFmtId="164" fontId="28" fillId="4" borderId="0" xfId="0" applyNumberFormat="1" applyFont="1" applyFill="1"/>
    <xf numFmtId="0" fontId="2" fillId="4" borderId="0" xfId="0" applyFont="1" applyFill="1"/>
    <xf numFmtId="2" fontId="4" fillId="0" borderId="0" xfId="0" applyNumberFormat="1" applyFont="1"/>
    <xf numFmtId="1" fontId="3" fillId="0" borderId="0" xfId="0" applyNumberFormat="1" applyFont="1"/>
    <xf numFmtId="2" fontId="5" fillId="0" borderId="0" xfId="0" applyNumberFormat="1" applyFont="1"/>
    <xf numFmtId="0" fontId="5" fillId="4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6" fontId="33" fillId="0" borderId="0" xfId="0" applyNumberFormat="1" applyFont="1"/>
    <xf numFmtId="0" fontId="2" fillId="7" borderId="0" xfId="0" applyFont="1" applyFill="1"/>
    <xf numFmtId="0" fontId="4" fillId="7" borderId="0" xfId="0" applyFont="1" applyFill="1"/>
    <xf numFmtId="0" fontId="9" fillId="4" borderId="0" xfId="0" applyFont="1" applyFill="1"/>
    <xf numFmtId="164" fontId="31" fillId="0" borderId="0" xfId="0" applyNumberFormat="1" applyFont="1"/>
    <xf numFmtId="2" fontId="9" fillId="0" borderId="0" xfId="0" applyNumberFormat="1" applyFont="1"/>
    <xf numFmtId="164" fontId="32" fillId="0" borderId="0" xfId="0" applyNumberFormat="1" applyFont="1"/>
    <xf numFmtId="171" fontId="9" fillId="0" borderId="0" xfId="0" applyNumberFormat="1" applyFont="1"/>
    <xf numFmtId="166" fontId="32" fillId="0" borderId="0" xfId="0" applyNumberFormat="1" applyFont="1"/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right"/>
    </xf>
    <xf numFmtId="164" fontId="32" fillId="4" borderId="0" xfId="0" applyNumberFormat="1" applyFont="1" applyFill="1"/>
    <xf numFmtId="0" fontId="32" fillId="4" borderId="0" xfId="0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0" fontId="31" fillId="0" borderId="0" xfId="0" applyFont="1"/>
    <xf numFmtId="0" fontId="7" fillId="4" borderId="0" xfId="0" applyFont="1" applyFill="1" applyAlignment="1">
      <alignment horizontal="center"/>
    </xf>
    <xf numFmtId="166" fontId="9" fillId="0" borderId="0" xfId="0" applyNumberFormat="1" applyFont="1"/>
    <xf numFmtId="0" fontId="9" fillId="7" borderId="0" xfId="0" applyFont="1" applyFill="1"/>
    <xf numFmtId="0" fontId="34" fillId="0" borderId="0" xfId="0" applyFont="1"/>
    <xf numFmtId="0" fontId="35" fillId="0" borderId="0" xfId="0" applyFont="1"/>
    <xf numFmtId="164" fontId="36" fillId="0" borderId="0" xfId="0" applyNumberFormat="1" applyFont="1"/>
    <xf numFmtId="1" fontId="31" fillId="0" borderId="0" xfId="0" applyNumberFormat="1" applyFont="1"/>
    <xf numFmtId="0" fontId="6" fillId="7" borderId="0" xfId="0" applyFont="1" applyFill="1" applyAlignment="1">
      <alignment horizontal="right"/>
    </xf>
    <xf numFmtId="1" fontId="34" fillId="0" borderId="0" xfId="0" applyNumberFormat="1" applyFont="1"/>
    <xf numFmtId="2" fontId="3" fillId="0" borderId="0" xfId="0" applyNumberFormat="1" applyFont="1"/>
    <xf numFmtId="165" fontId="28" fillId="0" borderId="0" xfId="0" applyNumberFormat="1" applyFont="1"/>
    <xf numFmtId="0" fontId="39" fillId="0" borderId="0" xfId="0" applyFont="1"/>
    <xf numFmtId="0" fontId="40" fillId="0" borderId="0" xfId="0" applyFont="1"/>
    <xf numFmtId="164" fontId="40" fillId="0" borderId="0" xfId="0" applyNumberFormat="1" applyFont="1"/>
    <xf numFmtId="166" fontId="28" fillId="0" borderId="0" xfId="0" applyNumberFormat="1" applyFont="1" applyAlignment="1">
      <alignment horizontal="right"/>
    </xf>
    <xf numFmtId="1" fontId="28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5FF25F"/>
      <rgbColor rgb="000000FF"/>
      <rgbColor rgb="00FFFF00"/>
      <rgbColor rgb="00FF00FF"/>
      <rgbColor rgb="0053D4C9"/>
      <rgbColor rgb="00631F34"/>
      <rgbColor rgb="00008000"/>
      <rgbColor rgb="00002850"/>
      <rgbColor rgb="00819C00"/>
      <rgbColor rgb="007B007B"/>
      <rgbColor rgb="00007F74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CCFFCC"/>
      <rgbColor rgb="00FFFFCC"/>
      <rgbColor rgb="00BBCCDD"/>
      <rgbColor rgb="00F9C7D7"/>
      <rgbColor rgb="00E6BBE6"/>
      <rgbColor rgb="00E8D9C4"/>
      <rgbColor rgb="003E70A1"/>
      <rgbColor rgb="0036ACA2"/>
      <rgbColor rgb="00AEC53D"/>
      <rgbColor rgb="00DBB887"/>
      <rgbColor rgb="00C6934C"/>
      <rgbColor rgb="00935600"/>
      <rgbColor rgb="00B782D9"/>
      <rgbColor rgb="00B2B2B2"/>
      <rgbColor rgb="00003366"/>
      <rgbColor rgb="0036AD36"/>
      <rgbColor rgb="001B571B"/>
      <rgbColor rgb="0058631F"/>
      <rgbColor rgb="00734300"/>
      <rgbColor rgb="00AA34AA"/>
      <rgbColor rgb="006100A1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Two-Tailed Test</a:t>
            </a:r>
          </a:p>
        </c:rich>
      </c:tx>
      <c:layout>
        <c:manualLayout>
          <c:xMode val="edge"/>
          <c:yMode val="edge"/>
          <c:x val="0.26007326007325998"/>
          <c:y val="4.6511868498189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49046577628398E-2"/>
          <c:y val="0.25581371141659198"/>
          <c:w val="0.83516446172605496"/>
          <c:h val="0.503875492184195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Mean!$V$4:$V$64</c:f>
              <c:numCache>
                <c:formatCode>0.000</c:formatCode>
                <c:ptCount val="61"/>
                <c:pt idx="0">
                  <c:v>-4</c:v>
                </c:pt>
                <c:pt idx="1">
                  <c:v>-4.0149829914261064</c:v>
                </c:pt>
                <c:pt idx="2">
                  <c:v>-4.0299659828522127</c:v>
                </c:pt>
                <c:pt idx="3">
                  <c:v>-4.0449489742783191</c:v>
                </c:pt>
                <c:pt idx="4">
                  <c:v>-4.0599319657044255</c:v>
                </c:pt>
                <c:pt idx="5">
                  <c:v>-4.0749149571305319</c:v>
                </c:pt>
                <c:pt idx="6">
                  <c:v>-4.0898979485566382</c:v>
                </c:pt>
                <c:pt idx="7">
                  <c:v>-4.1048809399827446</c:v>
                </c:pt>
                <c:pt idx="8">
                  <c:v>-4.119863931408851</c:v>
                </c:pt>
                <c:pt idx="9">
                  <c:v>-4.1348469228349574</c:v>
                </c:pt>
                <c:pt idx="10">
                  <c:v>-4.1498299142610637</c:v>
                </c:pt>
                <c:pt idx="11">
                  <c:v>-4.1648129056871701</c:v>
                </c:pt>
                <c:pt idx="12">
                  <c:v>-4.1797958971132765</c:v>
                </c:pt>
                <c:pt idx="13">
                  <c:v>-4.1947788885393829</c:v>
                </c:pt>
                <c:pt idx="14">
                  <c:v>-4.2097618799654892</c:v>
                </c:pt>
                <c:pt idx="15">
                  <c:v>-4.2247448713915956</c:v>
                </c:pt>
                <c:pt idx="16">
                  <c:v>-4.239727862817702</c:v>
                </c:pt>
                <c:pt idx="17">
                  <c:v>-4.2547108542438083</c:v>
                </c:pt>
                <c:pt idx="18">
                  <c:v>-4.2696938456699147</c:v>
                </c:pt>
                <c:pt idx="19">
                  <c:v>-4.2846768370960211</c:v>
                </c:pt>
                <c:pt idx="20">
                  <c:v>-4.2996598285221275</c:v>
                </c:pt>
                <c:pt idx="21">
                  <c:v>-4.3146428199482338</c:v>
                </c:pt>
                <c:pt idx="22">
                  <c:v>-4.3296258113743402</c:v>
                </c:pt>
                <c:pt idx="23">
                  <c:v>-4.3446088028004466</c:v>
                </c:pt>
                <c:pt idx="24">
                  <c:v>-4.359591794226553</c:v>
                </c:pt>
                <c:pt idx="25">
                  <c:v>-4.3745747856526593</c:v>
                </c:pt>
                <c:pt idx="26">
                  <c:v>-4.3895577770787657</c:v>
                </c:pt>
                <c:pt idx="27">
                  <c:v>-4.4045407685048721</c:v>
                </c:pt>
                <c:pt idx="28">
                  <c:v>-4.4195237599309785</c:v>
                </c:pt>
                <c:pt idx="29">
                  <c:v>-4.4345067513570848</c:v>
                </c:pt>
                <c:pt idx="30">
                  <c:v>-4.4494897427831912</c:v>
                </c:pt>
                <c:pt idx="31">
                  <c:v>-4.4644727342092976</c:v>
                </c:pt>
                <c:pt idx="32">
                  <c:v>-4.479455725635404</c:v>
                </c:pt>
                <c:pt idx="33">
                  <c:v>-4.4944387170615103</c:v>
                </c:pt>
                <c:pt idx="34">
                  <c:v>-4.5094217084876167</c:v>
                </c:pt>
                <c:pt idx="35">
                  <c:v>-4.5244046999137231</c:v>
                </c:pt>
                <c:pt idx="36">
                  <c:v>-4.5393876913398294</c:v>
                </c:pt>
                <c:pt idx="37">
                  <c:v>-4.5543706827659358</c:v>
                </c:pt>
                <c:pt idx="38">
                  <c:v>-4.5693536741920422</c:v>
                </c:pt>
                <c:pt idx="39">
                  <c:v>-4.5843366656181486</c:v>
                </c:pt>
                <c:pt idx="40">
                  <c:v>-4.5993196570442549</c:v>
                </c:pt>
                <c:pt idx="41">
                  <c:v>-4.6143026484703613</c:v>
                </c:pt>
                <c:pt idx="42">
                  <c:v>-4.6292856398964677</c:v>
                </c:pt>
                <c:pt idx="43">
                  <c:v>-4.6442686313225741</c:v>
                </c:pt>
                <c:pt idx="44">
                  <c:v>-4.6592516227486804</c:v>
                </c:pt>
                <c:pt idx="45">
                  <c:v>-4.6742346141747868</c:v>
                </c:pt>
                <c:pt idx="46">
                  <c:v>-4.6892176056008932</c:v>
                </c:pt>
                <c:pt idx="47">
                  <c:v>-4.7042005970269996</c:v>
                </c:pt>
                <c:pt idx="48">
                  <c:v>-4.7191835884531059</c:v>
                </c:pt>
                <c:pt idx="49">
                  <c:v>-4.7341665798792123</c:v>
                </c:pt>
                <c:pt idx="50">
                  <c:v>-4.7491495713053187</c:v>
                </c:pt>
                <c:pt idx="51">
                  <c:v>-4.764132562731425</c:v>
                </c:pt>
                <c:pt idx="52">
                  <c:v>-4.7791155541575314</c:v>
                </c:pt>
                <c:pt idx="53">
                  <c:v>-4.7940985455836378</c:v>
                </c:pt>
                <c:pt idx="54">
                  <c:v>-4.8090815370097442</c:v>
                </c:pt>
                <c:pt idx="55">
                  <c:v>-4.8240645284358505</c:v>
                </c:pt>
                <c:pt idx="56">
                  <c:v>-4.8390475198619569</c:v>
                </c:pt>
                <c:pt idx="57">
                  <c:v>-4.8540305112880633</c:v>
                </c:pt>
                <c:pt idx="58">
                  <c:v>-4.8690135027141697</c:v>
                </c:pt>
                <c:pt idx="59">
                  <c:v>-4.883996494140276</c:v>
                </c:pt>
                <c:pt idx="60">
                  <c:v>-4.8989794855663824</c:v>
                </c:pt>
              </c:numCache>
            </c:numRef>
          </c:xVal>
          <c:yVal>
            <c:numRef>
              <c:f>Mean!$W$4:$W$64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1.2603098810298616E-4</c:v>
                </c:pt>
                <c:pt idx="2">
                  <c:v>1.1865962651302907E-4</c:v>
                </c:pt>
                <c:pt idx="3">
                  <c:v>1.1169432761891044E-4</c:v>
                </c:pt>
                <c:pt idx="4">
                  <c:v>1.0511429076712337E-4</c:v>
                </c:pt>
                <c:pt idx="5">
                  <c:v>9.8899686705854767E-5</c:v>
                </c:pt>
                <c:pt idx="6">
                  <c:v>9.3031617636005936E-5</c:v>
                </c:pt>
                <c:pt idx="7">
                  <c:v>8.7492078605516405E-5</c:v>
                </c:pt>
                <c:pt idx="8">
                  <c:v>8.2263920218018913E-5</c:v>
                </c:pt>
                <c:pt idx="9">
                  <c:v>7.7330812626559203E-5</c:v>
                </c:pt>
                <c:pt idx="10">
                  <c:v>7.2677210782900596E-5</c:v>
                </c:pt>
                <c:pt idx="11">
                  <c:v>6.828832091277405E-5</c:v>
                </c:pt>
                <c:pt idx="12">
                  <c:v>6.4150068187346409E-5</c:v>
                </c:pt>
                <c:pt idx="13">
                  <c:v>6.0249065561135783E-5</c:v>
                </c:pt>
                <c:pt idx="14">
                  <c:v>5.6572583746628231E-5</c:v>
                </c:pt>
                <c:pt idx="15">
                  <c:v>5.3108522295910792E-5</c:v>
                </c:pt>
                <c:pt idx="16">
                  <c:v>4.9845381759758816E-5</c:v>
                </c:pt>
                <c:pt idx="17">
                  <c:v>4.6772236894769316E-5</c:v>
                </c:pt>
                <c:pt idx="18">
                  <c:v>4.3878710889338141E-5</c:v>
                </c:pt>
                <c:pt idx="19">
                  <c:v>4.1154950579517606E-5</c:v>
                </c:pt>
                <c:pt idx="20">
                  <c:v>3.8591602626065291E-5</c:v>
                </c:pt>
                <c:pt idx="21">
                  <c:v>3.6179790624305723E-5</c:v>
                </c:pt>
                <c:pt idx="22">
                  <c:v>3.3911093118764104E-5</c:v>
                </c:pt>
                <c:pt idx="23">
                  <c:v>3.1777522494898202E-5</c:v>
                </c:pt>
                <c:pt idx="24">
                  <c:v>2.9771504720646448E-5</c:v>
                </c:pt>
                <c:pt idx="25">
                  <c:v>2.7885859910925135E-5</c:v>
                </c:pt>
                <c:pt idx="26">
                  <c:v>2.6113783688643133E-5</c:v>
                </c:pt>
                <c:pt idx="27">
                  <c:v>2.4448829316256507E-5</c:v>
                </c:pt>
                <c:pt idx="28">
                  <c:v>2.2884890572356311E-5</c:v>
                </c:pt>
                <c:pt idx="29">
                  <c:v>2.1416185348267475E-5</c:v>
                </c:pt>
                <c:pt idx="30">
                  <c:v>2.0037239940135101E-5</c:v>
                </c:pt>
                <c:pt idx="31">
                  <c:v>1.874287401248213E-5</c:v>
                </c:pt>
                <c:pt idx="32">
                  <c:v>1.7528186209741517E-5</c:v>
                </c:pt>
                <c:pt idx="33">
                  <c:v>1.638854039279034E-5</c:v>
                </c:pt>
                <c:pt idx="34">
                  <c:v>1.5319552478044955E-5</c:v>
                </c:pt>
                <c:pt idx="35">
                  <c:v>1.4317077857213341E-5</c:v>
                </c:pt>
                <c:pt idx="36">
                  <c:v>1.3377199376338697E-5</c:v>
                </c:pt>
                <c:pt idx="37">
                  <c:v>1.2496215853311486E-5</c:v>
                </c:pt>
                <c:pt idx="38">
                  <c:v>1.1670631113567904E-5</c:v>
                </c:pt>
                <c:pt idx="39">
                  <c:v>1.0897143524235822E-5</c:v>
                </c:pt>
                <c:pt idx="40">
                  <c:v>1.0172636007529737E-5</c:v>
                </c:pt>
                <c:pt idx="41">
                  <c:v>9.4941665147342039E-6</c:v>
                </c:pt>
                <c:pt idx="42">
                  <c:v>8.858958942651086E-6</c:v>
                </c:pt>
                <c:pt idx="43">
                  <c:v>8.2643944749170471E-6</c:v>
                </c:pt>
                <c:pt idx="44">
                  <c:v>7.7080033311237287E-6</c:v>
                </c:pt>
                <c:pt idx="45">
                  <c:v>7.1874569071945879E-6</c:v>
                </c:pt>
                <c:pt idx="46">
                  <c:v>6.7005602909867693E-6</c:v>
                </c:pt>
                <c:pt idx="47">
                  <c:v>6.245245137594577E-6</c:v>
                </c:pt>
                <c:pt idx="48">
                  <c:v>5.8195628893318723E-6</c:v>
                </c:pt>
                <c:pt idx="49">
                  <c:v>5.4216783258637239E-6</c:v>
                </c:pt>
                <c:pt idx="50">
                  <c:v>5.049863430442503E-6</c:v>
                </c:pt>
                <c:pt idx="51">
                  <c:v>4.7024915586796401E-6</c:v>
                </c:pt>
                <c:pt idx="52">
                  <c:v>4.3780318967519009E-6</c:v>
                </c:pt>
                <c:pt idx="53">
                  <c:v>4.0750441963987058E-6</c:v>
                </c:pt>
                <c:pt idx="54">
                  <c:v>3.7921737745158573E-6</c:v>
                </c:pt>
                <c:pt idx="55">
                  <c:v>3.5281467655896377E-6</c:v>
                </c:pt>
                <c:pt idx="56">
                  <c:v>3.2817656156444374E-6</c:v>
                </c:pt>
                <c:pt idx="57">
                  <c:v>3.0519048067957212E-6</c:v>
                </c:pt>
                <c:pt idx="58">
                  <c:v>2.8375068019088684E-6</c:v>
                </c:pt>
                <c:pt idx="59">
                  <c:v>2.637578199263045E-6</c:v>
                </c:pt>
                <c:pt idx="60">
                  <c:v>2.4511860875070957E-6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6-7D40-802E-847B447D7E0C}"/>
            </c:ext>
          </c:extLst>
        </c:ser>
        <c:ser>
          <c:idx val="2"/>
          <c:order val="1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Mean!$Y$4:$Y$64</c:f>
              <c:numCache>
                <c:formatCode>0.000</c:formatCode>
                <c:ptCount val="61"/>
                <c:pt idx="0">
                  <c:v>4</c:v>
                </c:pt>
                <c:pt idx="1">
                  <c:v>4.0149829914261064</c:v>
                </c:pt>
                <c:pt idx="2">
                  <c:v>4.0299659828522127</c:v>
                </c:pt>
                <c:pt idx="3">
                  <c:v>4.0449489742783191</c:v>
                </c:pt>
                <c:pt idx="4">
                  <c:v>4.0599319657044255</c:v>
                </c:pt>
                <c:pt idx="5">
                  <c:v>4.0749149571305319</c:v>
                </c:pt>
                <c:pt idx="6">
                  <c:v>4.0898979485566382</c:v>
                </c:pt>
                <c:pt idx="7">
                  <c:v>4.1048809399827446</c:v>
                </c:pt>
                <c:pt idx="8">
                  <c:v>4.119863931408851</c:v>
                </c:pt>
                <c:pt idx="9">
                  <c:v>4.1348469228349574</c:v>
                </c:pt>
                <c:pt idx="10">
                  <c:v>4.1498299142610637</c:v>
                </c:pt>
                <c:pt idx="11">
                  <c:v>4.1648129056871701</c:v>
                </c:pt>
                <c:pt idx="12">
                  <c:v>4.1797958971132765</c:v>
                </c:pt>
                <c:pt idx="13">
                  <c:v>4.1947788885393829</c:v>
                </c:pt>
                <c:pt idx="14">
                  <c:v>4.2097618799654892</c:v>
                </c:pt>
                <c:pt idx="15">
                  <c:v>4.2247448713915956</c:v>
                </c:pt>
                <c:pt idx="16">
                  <c:v>4.239727862817702</c:v>
                </c:pt>
                <c:pt idx="17">
                  <c:v>4.2547108542438083</c:v>
                </c:pt>
                <c:pt idx="18">
                  <c:v>4.2696938456699147</c:v>
                </c:pt>
                <c:pt idx="19">
                  <c:v>4.2846768370960211</c:v>
                </c:pt>
                <c:pt idx="20">
                  <c:v>4.2996598285221275</c:v>
                </c:pt>
                <c:pt idx="21">
                  <c:v>4.3146428199482338</c:v>
                </c:pt>
                <c:pt idx="22">
                  <c:v>4.3296258113743402</c:v>
                </c:pt>
                <c:pt idx="23">
                  <c:v>4.3446088028004466</c:v>
                </c:pt>
                <c:pt idx="24">
                  <c:v>4.359591794226553</c:v>
                </c:pt>
                <c:pt idx="25">
                  <c:v>4.3745747856526593</c:v>
                </c:pt>
                <c:pt idx="26">
                  <c:v>4.3895577770787657</c:v>
                </c:pt>
                <c:pt idx="27">
                  <c:v>4.4045407685048721</c:v>
                </c:pt>
                <c:pt idx="28">
                  <c:v>4.4195237599309785</c:v>
                </c:pt>
                <c:pt idx="29">
                  <c:v>4.4345067513570848</c:v>
                </c:pt>
                <c:pt idx="30">
                  <c:v>4.4494897427831912</c:v>
                </c:pt>
                <c:pt idx="31">
                  <c:v>4.4644727342092976</c:v>
                </c:pt>
                <c:pt idx="32">
                  <c:v>4.479455725635404</c:v>
                </c:pt>
                <c:pt idx="33">
                  <c:v>4.4944387170615103</c:v>
                </c:pt>
                <c:pt idx="34">
                  <c:v>4.5094217084876167</c:v>
                </c:pt>
                <c:pt idx="35">
                  <c:v>4.5244046999137231</c:v>
                </c:pt>
                <c:pt idx="36">
                  <c:v>4.5393876913398294</c:v>
                </c:pt>
                <c:pt idx="37">
                  <c:v>4.5543706827659358</c:v>
                </c:pt>
                <c:pt idx="38">
                  <c:v>4.5693536741920422</c:v>
                </c:pt>
                <c:pt idx="39">
                  <c:v>4.5843366656181486</c:v>
                </c:pt>
                <c:pt idx="40">
                  <c:v>4.5993196570442549</c:v>
                </c:pt>
                <c:pt idx="41">
                  <c:v>4.6143026484703613</c:v>
                </c:pt>
                <c:pt idx="42">
                  <c:v>4.6292856398964677</c:v>
                </c:pt>
                <c:pt idx="43">
                  <c:v>4.6442686313225741</c:v>
                </c:pt>
                <c:pt idx="44">
                  <c:v>4.6592516227486804</c:v>
                </c:pt>
                <c:pt idx="45">
                  <c:v>4.6742346141747868</c:v>
                </c:pt>
                <c:pt idx="46">
                  <c:v>4.6892176056008932</c:v>
                </c:pt>
                <c:pt idx="47">
                  <c:v>4.7042005970269996</c:v>
                </c:pt>
                <c:pt idx="48">
                  <c:v>4.7191835884531059</c:v>
                </c:pt>
                <c:pt idx="49">
                  <c:v>4.7341665798792123</c:v>
                </c:pt>
                <c:pt idx="50">
                  <c:v>4.7491495713053187</c:v>
                </c:pt>
                <c:pt idx="51">
                  <c:v>4.764132562731425</c:v>
                </c:pt>
                <c:pt idx="52">
                  <c:v>4.7791155541575314</c:v>
                </c:pt>
                <c:pt idx="53">
                  <c:v>4.7940985455836378</c:v>
                </c:pt>
                <c:pt idx="54">
                  <c:v>4.8090815370097442</c:v>
                </c:pt>
                <c:pt idx="55">
                  <c:v>4.8240645284358505</c:v>
                </c:pt>
                <c:pt idx="56">
                  <c:v>4.8390475198619569</c:v>
                </c:pt>
                <c:pt idx="57">
                  <c:v>4.8540305112880633</c:v>
                </c:pt>
                <c:pt idx="58">
                  <c:v>4.8690135027141697</c:v>
                </c:pt>
                <c:pt idx="59">
                  <c:v>4.883996494140276</c:v>
                </c:pt>
                <c:pt idx="60">
                  <c:v>4.8989794855663824</c:v>
                </c:pt>
              </c:numCache>
            </c:numRef>
          </c:xVal>
          <c:yVal>
            <c:numRef>
              <c:f>Mean!$Z$4:$Z$64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1.2603098810298616E-4</c:v>
                </c:pt>
                <c:pt idx="2">
                  <c:v>1.1865962651302907E-4</c:v>
                </c:pt>
                <c:pt idx="3">
                  <c:v>1.1169432761891044E-4</c:v>
                </c:pt>
                <c:pt idx="4">
                  <c:v>1.0511429076712337E-4</c:v>
                </c:pt>
                <c:pt idx="5">
                  <c:v>9.8899686705854767E-5</c:v>
                </c:pt>
                <c:pt idx="6">
                  <c:v>9.3031617636005936E-5</c:v>
                </c:pt>
                <c:pt idx="7">
                  <c:v>8.7492078605516405E-5</c:v>
                </c:pt>
                <c:pt idx="8">
                  <c:v>8.2263920218018913E-5</c:v>
                </c:pt>
                <c:pt idx="9">
                  <c:v>7.7330812626559203E-5</c:v>
                </c:pt>
                <c:pt idx="10">
                  <c:v>7.2677210782900596E-5</c:v>
                </c:pt>
                <c:pt idx="11">
                  <c:v>6.828832091277405E-5</c:v>
                </c:pt>
                <c:pt idx="12">
                  <c:v>6.4150068187346409E-5</c:v>
                </c:pt>
                <c:pt idx="13">
                  <c:v>6.0249065561135783E-5</c:v>
                </c:pt>
                <c:pt idx="14">
                  <c:v>5.6572583746628231E-5</c:v>
                </c:pt>
                <c:pt idx="15">
                  <c:v>5.3108522295910792E-5</c:v>
                </c:pt>
                <c:pt idx="16">
                  <c:v>4.9845381759758816E-5</c:v>
                </c:pt>
                <c:pt idx="17">
                  <c:v>4.6772236894769316E-5</c:v>
                </c:pt>
                <c:pt idx="18">
                  <c:v>4.3878710889338141E-5</c:v>
                </c:pt>
                <c:pt idx="19">
                  <c:v>4.1154950579517606E-5</c:v>
                </c:pt>
                <c:pt idx="20">
                  <c:v>3.8591602626065291E-5</c:v>
                </c:pt>
                <c:pt idx="21">
                  <c:v>3.6179790624305723E-5</c:v>
                </c:pt>
                <c:pt idx="22">
                  <c:v>3.3911093118764104E-5</c:v>
                </c:pt>
                <c:pt idx="23">
                  <c:v>3.1777522494898202E-5</c:v>
                </c:pt>
                <c:pt idx="24">
                  <c:v>2.9771504720646448E-5</c:v>
                </c:pt>
                <c:pt idx="25">
                  <c:v>2.7885859910925135E-5</c:v>
                </c:pt>
                <c:pt idx="26">
                  <c:v>2.6113783688643133E-5</c:v>
                </c:pt>
                <c:pt idx="27">
                  <c:v>2.4448829316256507E-5</c:v>
                </c:pt>
                <c:pt idx="28">
                  <c:v>2.2884890572356311E-5</c:v>
                </c:pt>
                <c:pt idx="29">
                  <c:v>2.1416185348267475E-5</c:v>
                </c:pt>
                <c:pt idx="30">
                  <c:v>2.0037239940135101E-5</c:v>
                </c:pt>
                <c:pt idx="31">
                  <c:v>1.874287401248213E-5</c:v>
                </c:pt>
                <c:pt idx="32">
                  <c:v>1.7528186209741517E-5</c:v>
                </c:pt>
                <c:pt idx="33">
                  <c:v>1.638854039279034E-5</c:v>
                </c:pt>
                <c:pt idx="34">
                  <c:v>1.5319552478044955E-5</c:v>
                </c:pt>
                <c:pt idx="35">
                  <c:v>1.4317077857213341E-5</c:v>
                </c:pt>
                <c:pt idx="36">
                  <c:v>1.3377199376338697E-5</c:v>
                </c:pt>
                <c:pt idx="37">
                  <c:v>1.2496215853311486E-5</c:v>
                </c:pt>
                <c:pt idx="38">
                  <c:v>1.1670631113567904E-5</c:v>
                </c:pt>
                <c:pt idx="39">
                  <c:v>1.0897143524235822E-5</c:v>
                </c:pt>
                <c:pt idx="40">
                  <c:v>1.0172636007529737E-5</c:v>
                </c:pt>
                <c:pt idx="41">
                  <c:v>9.4941665147342039E-6</c:v>
                </c:pt>
                <c:pt idx="42">
                  <c:v>8.858958942651086E-6</c:v>
                </c:pt>
                <c:pt idx="43">
                  <c:v>8.2643944749170471E-6</c:v>
                </c:pt>
                <c:pt idx="44">
                  <c:v>7.7080033311237287E-6</c:v>
                </c:pt>
                <c:pt idx="45">
                  <c:v>7.1874569071945879E-6</c:v>
                </c:pt>
                <c:pt idx="46">
                  <c:v>6.7005602909867693E-6</c:v>
                </c:pt>
                <c:pt idx="47">
                  <c:v>6.245245137594577E-6</c:v>
                </c:pt>
                <c:pt idx="48">
                  <c:v>5.8195628893318723E-6</c:v>
                </c:pt>
                <c:pt idx="49">
                  <c:v>5.4216783258637239E-6</c:v>
                </c:pt>
                <c:pt idx="50">
                  <c:v>5.049863430442503E-6</c:v>
                </c:pt>
                <c:pt idx="51">
                  <c:v>4.7024915586796401E-6</c:v>
                </c:pt>
                <c:pt idx="52">
                  <c:v>4.3780318967519009E-6</c:v>
                </c:pt>
                <c:pt idx="53">
                  <c:v>4.0750441963987058E-6</c:v>
                </c:pt>
                <c:pt idx="54">
                  <c:v>3.7921737745158573E-6</c:v>
                </c:pt>
                <c:pt idx="55">
                  <c:v>3.5281467655896377E-6</c:v>
                </c:pt>
                <c:pt idx="56">
                  <c:v>3.2817656156444374E-6</c:v>
                </c:pt>
                <c:pt idx="57">
                  <c:v>3.0519048067957212E-6</c:v>
                </c:pt>
                <c:pt idx="58">
                  <c:v>2.8375068019088684E-6</c:v>
                </c:pt>
                <c:pt idx="59">
                  <c:v>2.637578199263045E-6</c:v>
                </c:pt>
                <c:pt idx="60">
                  <c:v>2.4511860875070957E-6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6-7D40-802E-847B447D7E0C}"/>
            </c:ext>
          </c:extLst>
        </c:ser>
        <c:ser>
          <c:idx val="0"/>
          <c:order val="2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Mean!$Q$4:$Q$64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Mean!$R$4:$R$64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06-7D40-802E-847B447D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79312"/>
        <c:axId val="657382144"/>
      </c:scatterChart>
      <c:valAx>
        <c:axId val="657379312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7382144"/>
        <c:crosses val="autoZero"/>
        <c:crossBetween val="midCat"/>
        <c:majorUnit val="1"/>
      </c:valAx>
      <c:valAx>
        <c:axId val="6573821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7379312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34236481489537601"/>
          <c:y val="3.8461592300962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20036753401"/>
          <c:y val="0.182692736564605"/>
          <c:w val="0.81773497360752501"/>
          <c:h val="0.649039985163726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'Normal Plot'!$B$11:$B$46</c:f>
              <c:numCache>
                <c:formatCode>General</c:formatCode>
                <c:ptCount val="36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0.16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0.31</c:v>
                </c:pt>
                <c:pt idx="19">
                  <c:v>0.31</c:v>
                </c:pt>
                <c:pt idx="20">
                  <c:v>0.36</c:v>
                </c:pt>
                <c:pt idx="21">
                  <c:v>0.37</c:v>
                </c:pt>
                <c:pt idx="22">
                  <c:v>0.39</c:v>
                </c:pt>
                <c:pt idx="23">
                  <c:v>0.41</c:v>
                </c:pt>
                <c:pt idx="24">
                  <c:v>0.42</c:v>
                </c:pt>
                <c:pt idx="25">
                  <c:v>0.43</c:v>
                </c:pt>
                <c:pt idx="26">
                  <c:v>0.43</c:v>
                </c:pt>
                <c:pt idx="27">
                  <c:v>0.44</c:v>
                </c:pt>
                <c:pt idx="28">
                  <c:v>0.44</c:v>
                </c:pt>
                <c:pt idx="29">
                  <c:v>0.52</c:v>
                </c:pt>
                <c:pt idx="30">
                  <c:v>0.57999999999999996</c:v>
                </c:pt>
              </c:numCache>
            </c:numRef>
          </c:xVal>
          <c:yVal>
            <c:numRef>
              <c:f>'Normal Plot'!$D$11:$D$46</c:f>
              <c:numCache>
                <c:formatCode>0.00000</c:formatCode>
                <c:ptCount val="36"/>
                <c:pt idx="0">
                  <c:v>-2.0537489106318225</c:v>
                </c:pt>
                <c:pt idx="1">
                  <c:v>-1.6257633862332344</c:v>
                </c:pt>
                <c:pt idx="2">
                  <c:v>-1.3786587286232774</c:v>
                </c:pt>
                <c:pt idx="3">
                  <c:v>-1.1952227814374274</c:v>
                </c:pt>
                <c:pt idx="4">
                  <c:v>-1.0450496996583867</c:v>
                </c:pt>
                <c:pt idx="5">
                  <c:v>-0.91536508784281501</c:v>
                </c:pt>
                <c:pt idx="6">
                  <c:v>-0.79950094313273623</c:v>
                </c:pt>
                <c:pt idx="7">
                  <c:v>-0.6934933462832894</c:v>
                </c:pt>
                <c:pt idx="8">
                  <c:v>-0.59476584680167843</c:v>
                </c:pt>
                <c:pt idx="9">
                  <c:v>-0.50152739897770826</c:v>
                </c:pt>
                <c:pt idx="10">
                  <c:v>-0.41246312944140484</c:v>
                </c:pt>
                <c:pt idx="11">
                  <c:v>-0.32656092741237269</c:v>
                </c:pt>
                <c:pt idx="12">
                  <c:v>-0.24300696740998221</c:v>
                </c:pt>
                <c:pt idx="13">
                  <c:v>-0.16111858851074543</c:v>
                </c:pt>
                <c:pt idx="14">
                  <c:v>-8.0298312892054913E-2</c:v>
                </c:pt>
                <c:pt idx="15">
                  <c:v>0</c:v>
                </c:pt>
                <c:pt idx="16">
                  <c:v>8.0298312892055052E-2</c:v>
                </c:pt>
                <c:pt idx="17">
                  <c:v>0.16111858851074529</c:v>
                </c:pt>
                <c:pt idx="18">
                  <c:v>0.24300696740998221</c:v>
                </c:pt>
                <c:pt idx="19">
                  <c:v>0.32656092741237269</c:v>
                </c:pt>
                <c:pt idx="20">
                  <c:v>0.41246312944140473</c:v>
                </c:pt>
                <c:pt idx="21">
                  <c:v>0.50152739897770804</c:v>
                </c:pt>
                <c:pt idx="22">
                  <c:v>0.59476584680167843</c:v>
                </c:pt>
                <c:pt idx="23">
                  <c:v>0.6934933462832894</c:v>
                </c:pt>
                <c:pt idx="24">
                  <c:v>0.79950094313273623</c:v>
                </c:pt>
                <c:pt idx="25">
                  <c:v>0.91536508784281256</c:v>
                </c:pt>
                <c:pt idx="26">
                  <c:v>1.0450496996583867</c:v>
                </c:pt>
                <c:pt idx="27">
                  <c:v>1.1952227814374274</c:v>
                </c:pt>
                <c:pt idx="28">
                  <c:v>1.3786587286232788</c:v>
                </c:pt>
                <c:pt idx="29">
                  <c:v>1.6257633862332341</c:v>
                </c:pt>
                <c:pt idx="30">
                  <c:v>2.0537489106318221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A-474D-9A30-0105F6A4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59776"/>
        <c:axId val="659654112"/>
      </c:scatterChart>
      <c:valAx>
        <c:axId val="660659776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</a:t>
                </a:r>
              </a:p>
            </c:rich>
          </c:tx>
          <c:layout>
            <c:manualLayout>
              <c:xMode val="edge"/>
              <c:yMode val="edge"/>
              <c:x val="0.51724191934571695"/>
              <c:y val="0.86538652668416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654112"/>
        <c:crosses val="autoZero"/>
        <c:crossBetween val="midCat"/>
        <c:majorUnit val="0.1"/>
      </c:valAx>
      <c:valAx>
        <c:axId val="65965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Expected Z-Score</a:t>
                </a:r>
              </a:p>
            </c:rich>
          </c:tx>
          <c:layout>
            <c:manualLayout>
              <c:xMode val="edge"/>
              <c:yMode val="edge"/>
              <c:x val="4.1871927611258498E-2"/>
              <c:y val="0.288462292213473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659776"/>
        <c:crosses val="autoZero"/>
        <c:crossBetween val="midCat"/>
      </c:valAx>
      <c:spPr>
        <a:solidFill>
          <a:srgbClr val="FFFFFF"/>
        </a:solidFill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9937230723518002"/>
          <c:y val="4.166652245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7178493448"/>
          <c:y val="0.27976292115319101"/>
          <c:w val="0.79874459127048703"/>
          <c:h val="0.3571441546636480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'Normal Plot'!$F$39:$F$51</c:f>
              <c:strCache>
                <c:ptCount val="13"/>
                <c:pt idx="0">
                  <c:v>0.073</c:v>
                </c:pt>
                <c:pt idx="1">
                  <c:v>0.100</c:v>
                </c:pt>
                <c:pt idx="2">
                  <c:v>0.128</c:v>
                </c:pt>
                <c:pt idx="3">
                  <c:v>0.155</c:v>
                </c:pt>
                <c:pt idx="4">
                  <c:v>0.182</c:v>
                </c:pt>
                <c:pt idx="5">
                  <c:v>0.209</c:v>
                </c:pt>
                <c:pt idx="6">
                  <c:v>0.237</c:v>
                </c:pt>
                <c:pt idx="7">
                  <c:v>0.264</c:v>
                </c:pt>
                <c:pt idx="8">
                  <c:v>0.291</c:v>
                </c:pt>
                <c:pt idx="9">
                  <c:v>0.318</c:v>
                </c:pt>
                <c:pt idx="10">
                  <c:v>0.346</c:v>
                </c:pt>
                <c:pt idx="11">
                  <c:v>0.373</c:v>
                </c:pt>
                <c:pt idx="12">
                  <c:v>More</c:v>
                </c:pt>
              </c:strCache>
            </c:strRef>
          </c:cat>
          <c:val>
            <c:numRef>
              <c:f>'Normal Plot'!$G$39:$G$51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9-674E-AE10-232C7E0F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59678544"/>
        <c:axId val="659682576"/>
      </c:barChart>
      <c:catAx>
        <c:axId val="65967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3144827415440998"/>
              <c:y val="0.827383836635804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68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968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0880750755212199E-2"/>
              <c:y val="0.27976291425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678544"/>
        <c:crosses val="autoZero"/>
        <c:crossBetween val="between"/>
      </c:valAx>
      <c:spPr>
        <a:solidFill>
          <a:srgbClr val="FFFFFF"/>
        </a:solidFill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 for One-Tailed Lower</a:t>
            </a:r>
          </a:p>
        </c:rich>
      </c:tx>
      <c:layout>
        <c:manualLayout>
          <c:xMode val="edge"/>
          <c:yMode val="edge"/>
          <c:x val="0.257245806230743"/>
          <c:y val="4.580166609608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185905680507E-2"/>
          <c:y val="0.25190910115929799"/>
          <c:w val="0.83695504105270402"/>
          <c:h val="0.511451811444636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Mean!$V$4:$V$64</c:f>
              <c:numCache>
                <c:formatCode>0.000</c:formatCode>
                <c:ptCount val="61"/>
                <c:pt idx="0">
                  <c:v>-4</c:v>
                </c:pt>
                <c:pt idx="1">
                  <c:v>-4.0149829914261064</c:v>
                </c:pt>
                <c:pt idx="2">
                  <c:v>-4.0299659828522127</c:v>
                </c:pt>
                <c:pt idx="3">
                  <c:v>-4.0449489742783191</c:v>
                </c:pt>
                <c:pt idx="4">
                  <c:v>-4.0599319657044255</c:v>
                </c:pt>
                <c:pt idx="5">
                  <c:v>-4.0749149571305319</c:v>
                </c:pt>
                <c:pt idx="6">
                  <c:v>-4.0898979485566382</c:v>
                </c:pt>
                <c:pt idx="7">
                  <c:v>-4.1048809399827446</c:v>
                </c:pt>
                <c:pt idx="8">
                  <c:v>-4.119863931408851</c:v>
                </c:pt>
                <c:pt idx="9">
                  <c:v>-4.1348469228349574</c:v>
                </c:pt>
                <c:pt idx="10">
                  <c:v>-4.1498299142610637</c:v>
                </c:pt>
                <c:pt idx="11">
                  <c:v>-4.1648129056871701</c:v>
                </c:pt>
                <c:pt idx="12">
                  <c:v>-4.1797958971132765</c:v>
                </c:pt>
                <c:pt idx="13">
                  <c:v>-4.1947788885393829</c:v>
                </c:pt>
                <c:pt idx="14">
                  <c:v>-4.2097618799654892</c:v>
                </c:pt>
                <c:pt idx="15">
                  <c:v>-4.2247448713915956</c:v>
                </c:pt>
                <c:pt idx="16">
                  <c:v>-4.239727862817702</c:v>
                </c:pt>
                <c:pt idx="17">
                  <c:v>-4.2547108542438083</c:v>
                </c:pt>
                <c:pt idx="18">
                  <c:v>-4.2696938456699147</c:v>
                </c:pt>
                <c:pt idx="19">
                  <c:v>-4.2846768370960211</c:v>
                </c:pt>
                <c:pt idx="20">
                  <c:v>-4.2996598285221275</c:v>
                </c:pt>
                <c:pt idx="21">
                  <c:v>-4.3146428199482338</c:v>
                </c:pt>
                <c:pt idx="22">
                  <c:v>-4.3296258113743402</c:v>
                </c:pt>
                <c:pt idx="23">
                  <c:v>-4.3446088028004466</c:v>
                </c:pt>
                <c:pt idx="24">
                  <c:v>-4.359591794226553</c:v>
                </c:pt>
                <c:pt idx="25">
                  <c:v>-4.3745747856526593</c:v>
                </c:pt>
                <c:pt idx="26">
                  <c:v>-4.3895577770787657</c:v>
                </c:pt>
                <c:pt idx="27">
                  <c:v>-4.4045407685048721</c:v>
                </c:pt>
                <c:pt idx="28">
                  <c:v>-4.4195237599309785</c:v>
                </c:pt>
                <c:pt idx="29">
                  <c:v>-4.4345067513570848</c:v>
                </c:pt>
                <c:pt idx="30">
                  <c:v>-4.4494897427831912</c:v>
                </c:pt>
                <c:pt idx="31">
                  <c:v>-4.4644727342092976</c:v>
                </c:pt>
                <c:pt idx="32">
                  <c:v>-4.479455725635404</c:v>
                </c:pt>
                <c:pt idx="33">
                  <c:v>-4.4944387170615103</c:v>
                </c:pt>
                <c:pt idx="34">
                  <c:v>-4.5094217084876167</c:v>
                </c:pt>
                <c:pt idx="35">
                  <c:v>-4.5244046999137231</c:v>
                </c:pt>
                <c:pt idx="36">
                  <c:v>-4.5393876913398294</c:v>
                </c:pt>
                <c:pt idx="37">
                  <c:v>-4.5543706827659358</c:v>
                </c:pt>
                <c:pt idx="38">
                  <c:v>-4.5693536741920422</c:v>
                </c:pt>
                <c:pt idx="39">
                  <c:v>-4.5843366656181486</c:v>
                </c:pt>
                <c:pt idx="40">
                  <c:v>-4.5993196570442549</c:v>
                </c:pt>
                <c:pt idx="41">
                  <c:v>-4.6143026484703613</c:v>
                </c:pt>
                <c:pt idx="42">
                  <c:v>-4.6292856398964677</c:v>
                </c:pt>
                <c:pt idx="43">
                  <c:v>-4.6442686313225741</c:v>
                </c:pt>
                <c:pt idx="44">
                  <c:v>-4.6592516227486804</c:v>
                </c:pt>
                <c:pt idx="45">
                  <c:v>-4.6742346141747868</c:v>
                </c:pt>
                <c:pt idx="46">
                  <c:v>-4.6892176056008932</c:v>
                </c:pt>
                <c:pt idx="47">
                  <c:v>-4.7042005970269996</c:v>
                </c:pt>
                <c:pt idx="48">
                  <c:v>-4.7191835884531059</c:v>
                </c:pt>
                <c:pt idx="49">
                  <c:v>-4.7341665798792123</c:v>
                </c:pt>
                <c:pt idx="50">
                  <c:v>-4.7491495713053187</c:v>
                </c:pt>
                <c:pt idx="51">
                  <c:v>-4.764132562731425</c:v>
                </c:pt>
                <c:pt idx="52">
                  <c:v>-4.7791155541575314</c:v>
                </c:pt>
                <c:pt idx="53">
                  <c:v>-4.7940985455836378</c:v>
                </c:pt>
                <c:pt idx="54">
                  <c:v>-4.8090815370097442</c:v>
                </c:pt>
                <c:pt idx="55">
                  <c:v>-4.8240645284358505</c:v>
                </c:pt>
                <c:pt idx="56">
                  <c:v>-4.8390475198619569</c:v>
                </c:pt>
                <c:pt idx="57">
                  <c:v>-4.8540305112880633</c:v>
                </c:pt>
                <c:pt idx="58">
                  <c:v>-4.8690135027141697</c:v>
                </c:pt>
                <c:pt idx="59">
                  <c:v>-4.883996494140276</c:v>
                </c:pt>
                <c:pt idx="60">
                  <c:v>-4.8989794855663824</c:v>
                </c:pt>
              </c:numCache>
            </c:numRef>
          </c:xVal>
          <c:yVal>
            <c:numRef>
              <c:f>Mean!$W$4:$W$64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1.2603098810298616E-4</c:v>
                </c:pt>
                <c:pt idx="2">
                  <c:v>1.1865962651302907E-4</c:v>
                </c:pt>
                <c:pt idx="3">
                  <c:v>1.1169432761891044E-4</c:v>
                </c:pt>
                <c:pt idx="4">
                  <c:v>1.0511429076712337E-4</c:v>
                </c:pt>
                <c:pt idx="5">
                  <c:v>9.8899686705854767E-5</c:v>
                </c:pt>
                <c:pt idx="6">
                  <c:v>9.3031617636005936E-5</c:v>
                </c:pt>
                <c:pt idx="7">
                  <c:v>8.7492078605516405E-5</c:v>
                </c:pt>
                <c:pt idx="8">
                  <c:v>8.2263920218018913E-5</c:v>
                </c:pt>
                <c:pt idx="9">
                  <c:v>7.7330812626559203E-5</c:v>
                </c:pt>
                <c:pt idx="10">
                  <c:v>7.2677210782900596E-5</c:v>
                </c:pt>
                <c:pt idx="11">
                  <c:v>6.828832091277405E-5</c:v>
                </c:pt>
                <c:pt idx="12">
                  <c:v>6.4150068187346409E-5</c:v>
                </c:pt>
                <c:pt idx="13">
                  <c:v>6.0249065561135783E-5</c:v>
                </c:pt>
                <c:pt idx="14">
                  <c:v>5.6572583746628231E-5</c:v>
                </c:pt>
                <c:pt idx="15">
                  <c:v>5.3108522295910792E-5</c:v>
                </c:pt>
                <c:pt idx="16">
                  <c:v>4.9845381759758816E-5</c:v>
                </c:pt>
                <c:pt idx="17">
                  <c:v>4.6772236894769316E-5</c:v>
                </c:pt>
                <c:pt idx="18">
                  <c:v>4.3878710889338141E-5</c:v>
                </c:pt>
                <c:pt idx="19">
                  <c:v>4.1154950579517606E-5</c:v>
                </c:pt>
                <c:pt idx="20">
                  <c:v>3.8591602626065291E-5</c:v>
                </c:pt>
                <c:pt idx="21">
                  <c:v>3.6179790624305723E-5</c:v>
                </c:pt>
                <c:pt idx="22">
                  <c:v>3.3911093118764104E-5</c:v>
                </c:pt>
                <c:pt idx="23">
                  <c:v>3.1777522494898202E-5</c:v>
                </c:pt>
                <c:pt idx="24">
                  <c:v>2.9771504720646448E-5</c:v>
                </c:pt>
                <c:pt idx="25">
                  <c:v>2.7885859910925135E-5</c:v>
                </c:pt>
                <c:pt idx="26">
                  <c:v>2.6113783688643133E-5</c:v>
                </c:pt>
                <c:pt idx="27">
                  <c:v>2.4448829316256507E-5</c:v>
                </c:pt>
                <c:pt idx="28">
                  <c:v>2.2884890572356311E-5</c:v>
                </c:pt>
                <c:pt idx="29">
                  <c:v>2.1416185348267475E-5</c:v>
                </c:pt>
                <c:pt idx="30">
                  <c:v>2.0037239940135101E-5</c:v>
                </c:pt>
                <c:pt idx="31">
                  <c:v>1.874287401248213E-5</c:v>
                </c:pt>
                <c:pt idx="32">
                  <c:v>1.7528186209741517E-5</c:v>
                </c:pt>
                <c:pt idx="33">
                  <c:v>1.638854039279034E-5</c:v>
                </c:pt>
                <c:pt idx="34">
                  <c:v>1.5319552478044955E-5</c:v>
                </c:pt>
                <c:pt idx="35">
                  <c:v>1.4317077857213341E-5</c:v>
                </c:pt>
                <c:pt idx="36">
                  <c:v>1.3377199376338697E-5</c:v>
                </c:pt>
                <c:pt idx="37">
                  <c:v>1.2496215853311486E-5</c:v>
                </c:pt>
                <c:pt idx="38">
                  <c:v>1.1670631113567904E-5</c:v>
                </c:pt>
                <c:pt idx="39">
                  <c:v>1.0897143524235822E-5</c:v>
                </c:pt>
                <c:pt idx="40">
                  <c:v>1.0172636007529737E-5</c:v>
                </c:pt>
                <c:pt idx="41">
                  <c:v>9.4941665147342039E-6</c:v>
                </c:pt>
                <c:pt idx="42">
                  <c:v>8.858958942651086E-6</c:v>
                </c:pt>
                <c:pt idx="43">
                  <c:v>8.2643944749170471E-6</c:v>
                </c:pt>
                <c:pt idx="44">
                  <c:v>7.7080033311237287E-6</c:v>
                </c:pt>
                <c:pt idx="45">
                  <c:v>7.1874569071945879E-6</c:v>
                </c:pt>
                <c:pt idx="46">
                  <c:v>6.7005602909867693E-6</c:v>
                </c:pt>
                <c:pt idx="47">
                  <c:v>6.245245137594577E-6</c:v>
                </c:pt>
                <c:pt idx="48">
                  <c:v>5.8195628893318723E-6</c:v>
                </c:pt>
                <c:pt idx="49">
                  <c:v>5.4216783258637239E-6</c:v>
                </c:pt>
                <c:pt idx="50">
                  <c:v>5.049863430442503E-6</c:v>
                </c:pt>
                <c:pt idx="51">
                  <c:v>4.7024915586796401E-6</c:v>
                </c:pt>
                <c:pt idx="52">
                  <c:v>4.3780318967519009E-6</c:v>
                </c:pt>
                <c:pt idx="53">
                  <c:v>4.0750441963987058E-6</c:v>
                </c:pt>
                <c:pt idx="54">
                  <c:v>3.7921737745158573E-6</c:v>
                </c:pt>
                <c:pt idx="55">
                  <c:v>3.5281467655896377E-6</c:v>
                </c:pt>
                <c:pt idx="56">
                  <c:v>3.2817656156444374E-6</c:v>
                </c:pt>
                <c:pt idx="57">
                  <c:v>3.0519048067957212E-6</c:v>
                </c:pt>
                <c:pt idx="58">
                  <c:v>2.8375068019088684E-6</c:v>
                </c:pt>
                <c:pt idx="59">
                  <c:v>2.637578199263045E-6</c:v>
                </c:pt>
                <c:pt idx="60">
                  <c:v>2.4511860875070957E-6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9-EF46-89C5-4C357186B492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Mean!$Q$4:$Q$64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Mean!$R$4:$R$64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9-EF46-89C5-4C357186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06048"/>
        <c:axId val="657408800"/>
      </c:scatterChart>
      <c:valAx>
        <c:axId val="657406048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7408800"/>
        <c:crosses val="autoZero"/>
        <c:crossBetween val="midCat"/>
        <c:majorUnit val="1"/>
      </c:valAx>
      <c:valAx>
        <c:axId val="6574088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7406048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One-Tailed Upper</a:t>
            </a:r>
          </a:p>
        </c:rich>
      </c:tx>
      <c:layout>
        <c:manualLayout>
          <c:xMode val="edge"/>
          <c:yMode val="edge"/>
          <c:x val="0.24817518248175199"/>
          <c:y val="5.3030079873109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41643236432897E-2"/>
          <c:y val="0.24999907522832601"/>
          <c:w val="0.83576679570187595"/>
          <c:h val="0.51514960956139899"/>
        </c:manualLayout>
      </c:layout>
      <c:scatterChart>
        <c:scatterStyle val="smoothMarker"/>
        <c:varyColors val="0"/>
        <c:ser>
          <c:idx val="2"/>
          <c:order val="0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Mean!$Y$4:$Y$64</c:f>
              <c:numCache>
                <c:formatCode>0.000</c:formatCode>
                <c:ptCount val="61"/>
                <c:pt idx="0">
                  <c:v>4</c:v>
                </c:pt>
                <c:pt idx="1">
                  <c:v>4.0149829914261064</c:v>
                </c:pt>
                <c:pt idx="2">
                  <c:v>4.0299659828522127</c:v>
                </c:pt>
                <c:pt idx="3">
                  <c:v>4.0449489742783191</c:v>
                </c:pt>
                <c:pt idx="4">
                  <c:v>4.0599319657044255</c:v>
                </c:pt>
                <c:pt idx="5">
                  <c:v>4.0749149571305319</c:v>
                </c:pt>
                <c:pt idx="6">
                  <c:v>4.0898979485566382</c:v>
                </c:pt>
                <c:pt idx="7">
                  <c:v>4.1048809399827446</c:v>
                </c:pt>
                <c:pt idx="8">
                  <c:v>4.119863931408851</c:v>
                </c:pt>
                <c:pt idx="9">
                  <c:v>4.1348469228349574</c:v>
                </c:pt>
                <c:pt idx="10">
                  <c:v>4.1498299142610637</c:v>
                </c:pt>
                <c:pt idx="11">
                  <c:v>4.1648129056871701</c:v>
                </c:pt>
                <c:pt idx="12">
                  <c:v>4.1797958971132765</c:v>
                </c:pt>
                <c:pt idx="13">
                  <c:v>4.1947788885393829</c:v>
                </c:pt>
                <c:pt idx="14">
                  <c:v>4.2097618799654892</c:v>
                </c:pt>
                <c:pt idx="15">
                  <c:v>4.2247448713915956</c:v>
                </c:pt>
                <c:pt idx="16">
                  <c:v>4.239727862817702</c:v>
                </c:pt>
                <c:pt idx="17">
                  <c:v>4.2547108542438083</c:v>
                </c:pt>
                <c:pt idx="18">
                  <c:v>4.2696938456699147</c:v>
                </c:pt>
                <c:pt idx="19">
                  <c:v>4.2846768370960211</c:v>
                </c:pt>
                <c:pt idx="20">
                  <c:v>4.2996598285221275</c:v>
                </c:pt>
                <c:pt idx="21">
                  <c:v>4.3146428199482338</c:v>
                </c:pt>
                <c:pt idx="22">
                  <c:v>4.3296258113743402</c:v>
                </c:pt>
                <c:pt idx="23">
                  <c:v>4.3446088028004466</c:v>
                </c:pt>
                <c:pt idx="24">
                  <c:v>4.359591794226553</c:v>
                </c:pt>
                <c:pt idx="25">
                  <c:v>4.3745747856526593</c:v>
                </c:pt>
                <c:pt idx="26">
                  <c:v>4.3895577770787657</c:v>
                </c:pt>
                <c:pt idx="27">
                  <c:v>4.4045407685048721</c:v>
                </c:pt>
                <c:pt idx="28">
                  <c:v>4.4195237599309785</c:v>
                </c:pt>
                <c:pt idx="29">
                  <c:v>4.4345067513570848</c:v>
                </c:pt>
                <c:pt idx="30">
                  <c:v>4.4494897427831912</c:v>
                </c:pt>
                <c:pt idx="31">
                  <c:v>4.4644727342092976</c:v>
                </c:pt>
                <c:pt idx="32">
                  <c:v>4.479455725635404</c:v>
                </c:pt>
                <c:pt idx="33">
                  <c:v>4.4944387170615103</c:v>
                </c:pt>
                <c:pt idx="34">
                  <c:v>4.5094217084876167</c:v>
                </c:pt>
                <c:pt idx="35">
                  <c:v>4.5244046999137231</c:v>
                </c:pt>
                <c:pt idx="36">
                  <c:v>4.5393876913398294</c:v>
                </c:pt>
                <c:pt idx="37">
                  <c:v>4.5543706827659358</c:v>
                </c:pt>
                <c:pt idx="38">
                  <c:v>4.5693536741920422</c:v>
                </c:pt>
                <c:pt idx="39">
                  <c:v>4.5843366656181486</c:v>
                </c:pt>
                <c:pt idx="40">
                  <c:v>4.5993196570442549</c:v>
                </c:pt>
                <c:pt idx="41">
                  <c:v>4.6143026484703613</c:v>
                </c:pt>
                <c:pt idx="42">
                  <c:v>4.6292856398964677</c:v>
                </c:pt>
                <c:pt idx="43">
                  <c:v>4.6442686313225741</c:v>
                </c:pt>
                <c:pt idx="44">
                  <c:v>4.6592516227486804</c:v>
                </c:pt>
                <c:pt idx="45">
                  <c:v>4.6742346141747868</c:v>
                </c:pt>
                <c:pt idx="46">
                  <c:v>4.6892176056008932</c:v>
                </c:pt>
                <c:pt idx="47">
                  <c:v>4.7042005970269996</c:v>
                </c:pt>
                <c:pt idx="48">
                  <c:v>4.7191835884531059</c:v>
                </c:pt>
                <c:pt idx="49">
                  <c:v>4.7341665798792123</c:v>
                </c:pt>
                <c:pt idx="50">
                  <c:v>4.7491495713053187</c:v>
                </c:pt>
                <c:pt idx="51">
                  <c:v>4.764132562731425</c:v>
                </c:pt>
                <c:pt idx="52">
                  <c:v>4.7791155541575314</c:v>
                </c:pt>
                <c:pt idx="53">
                  <c:v>4.7940985455836378</c:v>
                </c:pt>
                <c:pt idx="54">
                  <c:v>4.8090815370097442</c:v>
                </c:pt>
                <c:pt idx="55">
                  <c:v>4.8240645284358505</c:v>
                </c:pt>
                <c:pt idx="56">
                  <c:v>4.8390475198619569</c:v>
                </c:pt>
                <c:pt idx="57">
                  <c:v>4.8540305112880633</c:v>
                </c:pt>
                <c:pt idx="58">
                  <c:v>4.8690135027141697</c:v>
                </c:pt>
                <c:pt idx="59">
                  <c:v>4.883996494140276</c:v>
                </c:pt>
                <c:pt idx="60">
                  <c:v>4.8989794855663824</c:v>
                </c:pt>
              </c:numCache>
            </c:numRef>
          </c:xVal>
          <c:yVal>
            <c:numRef>
              <c:f>Mean!$Z$4:$Z$64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1.2603098810298616E-4</c:v>
                </c:pt>
                <c:pt idx="2">
                  <c:v>1.1865962651302907E-4</c:v>
                </c:pt>
                <c:pt idx="3">
                  <c:v>1.1169432761891044E-4</c:v>
                </c:pt>
                <c:pt idx="4">
                  <c:v>1.0511429076712337E-4</c:v>
                </c:pt>
                <c:pt idx="5">
                  <c:v>9.8899686705854767E-5</c:v>
                </c:pt>
                <c:pt idx="6">
                  <c:v>9.3031617636005936E-5</c:v>
                </c:pt>
                <c:pt idx="7">
                  <c:v>8.7492078605516405E-5</c:v>
                </c:pt>
                <c:pt idx="8">
                  <c:v>8.2263920218018913E-5</c:v>
                </c:pt>
                <c:pt idx="9">
                  <c:v>7.7330812626559203E-5</c:v>
                </c:pt>
                <c:pt idx="10">
                  <c:v>7.2677210782900596E-5</c:v>
                </c:pt>
                <c:pt idx="11">
                  <c:v>6.828832091277405E-5</c:v>
                </c:pt>
                <c:pt idx="12">
                  <c:v>6.4150068187346409E-5</c:v>
                </c:pt>
                <c:pt idx="13">
                  <c:v>6.0249065561135783E-5</c:v>
                </c:pt>
                <c:pt idx="14">
                  <c:v>5.6572583746628231E-5</c:v>
                </c:pt>
                <c:pt idx="15">
                  <c:v>5.3108522295910792E-5</c:v>
                </c:pt>
                <c:pt idx="16">
                  <c:v>4.9845381759758816E-5</c:v>
                </c:pt>
                <c:pt idx="17">
                  <c:v>4.6772236894769316E-5</c:v>
                </c:pt>
                <c:pt idx="18">
                  <c:v>4.3878710889338141E-5</c:v>
                </c:pt>
                <c:pt idx="19">
                  <c:v>4.1154950579517606E-5</c:v>
                </c:pt>
                <c:pt idx="20">
                  <c:v>3.8591602626065291E-5</c:v>
                </c:pt>
                <c:pt idx="21">
                  <c:v>3.6179790624305723E-5</c:v>
                </c:pt>
                <c:pt idx="22">
                  <c:v>3.3911093118764104E-5</c:v>
                </c:pt>
                <c:pt idx="23">
                  <c:v>3.1777522494898202E-5</c:v>
                </c:pt>
                <c:pt idx="24">
                  <c:v>2.9771504720646448E-5</c:v>
                </c:pt>
                <c:pt idx="25">
                  <c:v>2.7885859910925135E-5</c:v>
                </c:pt>
                <c:pt idx="26">
                  <c:v>2.6113783688643133E-5</c:v>
                </c:pt>
                <c:pt idx="27">
                  <c:v>2.4448829316256507E-5</c:v>
                </c:pt>
                <c:pt idx="28">
                  <c:v>2.2884890572356311E-5</c:v>
                </c:pt>
                <c:pt idx="29">
                  <c:v>2.1416185348267475E-5</c:v>
                </c:pt>
                <c:pt idx="30">
                  <c:v>2.0037239940135101E-5</c:v>
                </c:pt>
                <c:pt idx="31">
                  <c:v>1.874287401248213E-5</c:v>
                </c:pt>
                <c:pt idx="32">
                  <c:v>1.7528186209741517E-5</c:v>
                </c:pt>
                <c:pt idx="33">
                  <c:v>1.638854039279034E-5</c:v>
                </c:pt>
                <c:pt idx="34">
                  <c:v>1.5319552478044955E-5</c:v>
                </c:pt>
                <c:pt idx="35">
                  <c:v>1.4317077857213341E-5</c:v>
                </c:pt>
                <c:pt idx="36">
                  <c:v>1.3377199376338697E-5</c:v>
                </c:pt>
                <c:pt idx="37">
                  <c:v>1.2496215853311486E-5</c:v>
                </c:pt>
                <c:pt idx="38">
                  <c:v>1.1670631113567904E-5</c:v>
                </c:pt>
                <c:pt idx="39">
                  <c:v>1.0897143524235822E-5</c:v>
                </c:pt>
                <c:pt idx="40">
                  <c:v>1.0172636007529737E-5</c:v>
                </c:pt>
                <c:pt idx="41">
                  <c:v>9.4941665147342039E-6</c:v>
                </c:pt>
                <c:pt idx="42">
                  <c:v>8.858958942651086E-6</c:v>
                </c:pt>
                <c:pt idx="43">
                  <c:v>8.2643944749170471E-6</c:v>
                </c:pt>
                <c:pt idx="44">
                  <c:v>7.7080033311237287E-6</c:v>
                </c:pt>
                <c:pt idx="45">
                  <c:v>7.1874569071945879E-6</c:v>
                </c:pt>
                <c:pt idx="46">
                  <c:v>6.7005602909867693E-6</c:v>
                </c:pt>
                <c:pt idx="47">
                  <c:v>6.245245137594577E-6</c:v>
                </c:pt>
                <c:pt idx="48">
                  <c:v>5.8195628893318723E-6</c:v>
                </c:pt>
                <c:pt idx="49">
                  <c:v>5.4216783258637239E-6</c:v>
                </c:pt>
                <c:pt idx="50">
                  <c:v>5.049863430442503E-6</c:v>
                </c:pt>
                <c:pt idx="51">
                  <c:v>4.7024915586796401E-6</c:v>
                </c:pt>
                <c:pt idx="52">
                  <c:v>4.3780318967519009E-6</c:v>
                </c:pt>
                <c:pt idx="53">
                  <c:v>4.0750441963987058E-6</c:v>
                </c:pt>
                <c:pt idx="54">
                  <c:v>3.7921737745158573E-6</c:v>
                </c:pt>
                <c:pt idx="55">
                  <c:v>3.5281467655896377E-6</c:v>
                </c:pt>
                <c:pt idx="56">
                  <c:v>3.2817656156444374E-6</c:v>
                </c:pt>
                <c:pt idx="57">
                  <c:v>3.0519048067957212E-6</c:v>
                </c:pt>
                <c:pt idx="58">
                  <c:v>2.8375068019088684E-6</c:v>
                </c:pt>
                <c:pt idx="59">
                  <c:v>2.637578199263045E-6</c:v>
                </c:pt>
                <c:pt idx="60">
                  <c:v>2.4511860875070957E-6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4-BF4E-85EC-902493B156CF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Mean!$Q$4:$Q$64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Mean!$R$4:$R$64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4-BF4E-85EC-902493B1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2976"/>
        <c:axId val="544534944"/>
      </c:scatterChart>
      <c:valAx>
        <c:axId val="544542976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4534944"/>
        <c:crosses val="autoZero"/>
        <c:crossBetween val="midCat"/>
        <c:majorUnit val="1"/>
      </c:valAx>
      <c:valAx>
        <c:axId val="5445349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544542976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Two-Tailed Test</a:t>
            </a:r>
          </a:p>
        </c:rich>
      </c:tx>
      <c:layout>
        <c:manualLayout>
          <c:xMode val="edge"/>
          <c:yMode val="edge"/>
          <c:x val="0.26007326007325998"/>
          <c:y val="4.6511868498189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49046577628398E-2"/>
          <c:y val="0.25581371141659198"/>
          <c:w val="0.83516446172605496"/>
          <c:h val="0.503875492184195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Proportion!$W$5:$W$65</c:f>
              <c:numCache>
                <c:formatCode>0.000</c:formatCode>
                <c:ptCount val="61"/>
                <c:pt idx="0">
                  <c:v>-4</c:v>
                </c:pt>
                <c:pt idx="1">
                  <c:v>-4.0862180181511789</c:v>
                </c:pt>
                <c:pt idx="2">
                  <c:v>-4.1724360363023578</c:v>
                </c:pt>
                <c:pt idx="3">
                  <c:v>-4.2586540544535367</c:v>
                </c:pt>
                <c:pt idx="4">
                  <c:v>-4.3448720726047156</c:v>
                </c:pt>
                <c:pt idx="5">
                  <c:v>-4.4310900907558946</c:v>
                </c:pt>
                <c:pt idx="6">
                  <c:v>-4.5173081089070735</c:v>
                </c:pt>
                <c:pt idx="7">
                  <c:v>-4.6035261270582524</c:v>
                </c:pt>
                <c:pt idx="8">
                  <c:v>-4.6897441452094313</c:v>
                </c:pt>
                <c:pt idx="9">
                  <c:v>-4.7759621633606102</c:v>
                </c:pt>
                <c:pt idx="10">
                  <c:v>-4.8621801815117891</c:v>
                </c:pt>
                <c:pt idx="11">
                  <c:v>-4.948398199662968</c:v>
                </c:pt>
                <c:pt idx="12">
                  <c:v>-5.0346162178141469</c:v>
                </c:pt>
                <c:pt idx="13">
                  <c:v>-5.1208342359653258</c:v>
                </c:pt>
                <c:pt idx="14">
                  <c:v>-5.2070522541165047</c:v>
                </c:pt>
                <c:pt idx="15">
                  <c:v>-5.2932702722676837</c:v>
                </c:pt>
                <c:pt idx="16">
                  <c:v>-5.3794882904188626</c:v>
                </c:pt>
                <c:pt idx="17">
                  <c:v>-5.4657063085700415</c:v>
                </c:pt>
                <c:pt idx="18">
                  <c:v>-5.5519243267212204</c:v>
                </c:pt>
                <c:pt idx="19">
                  <c:v>-5.6381423448723993</c:v>
                </c:pt>
                <c:pt idx="20">
                  <c:v>-5.7243603630235782</c:v>
                </c:pt>
                <c:pt idx="21">
                  <c:v>-5.8105783811747571</c:v>
                </c:pt>
                <c:pt idx="22">
                  <c:v>-5.896796399325936</c:v>
                </c:pt>
                <c:pt idx="23">
                  <c:v>-5.9830144174771149</c:v>
                </c:pt>
                <c:pt idx="24">
                  <c:v>-6.0692324356282938</c:v>
                </c:pt>
                <c:pt idx="25">
                  <c:v>-6.1554504537794728</c:v>
                </c:pt>
                <c:pt idx="26">
                  <c:v>-6.2416684719306517</c:v>
                </c:pt>
                <c:pt idx="27">
                  <c:v>-6.3278864900818306</c:v>
                </c:pt>
                <c:pt idx="28">
                  <c:v>-6.4141045082330095</c:v>
                </c:pt>
                <c:pt idx="29">
                  <c:v>-6.5003225263841884</c:v>
                </c:pt>
                <c:pt idx="30">
                  <c:v>-6.5865405445353673</c:v>
                </c:pt>
                <c:pt idx="31">
                  <c:v>-6.6727585626865462</c:v>
                </c:pt>
                <c:pt idx="32">
                  <c:v>-6.7589765808377251</c:v>
                </c:pt>
                <c:pt idx="33">
                  <c:v>-6.845194598988904</c:v>
                </c:pt>
                <c:pt idx="34">
                  <c:v>-6.9314126171400829</c:v>
                </c:pt>
                <c:pt idx="35">
                  <c:v>-7.0176306352912619</c:v>
                </c:pt>
                <c:pt idx="36">
                  <c:v>-7.1038486534424408</c:v>
                </c:pt>
                <c:pt idx="37">
                  <c:v>-7.1900666715936197</c:v>
                </c:pt>
                <c:pt idx="38">
                  <c:v>-7.2762846897447986</c:v>
                </c:pt>
                <c:pt idx="39">
                  <c:v>-7.3625027078959775</c:v>
                </c:pt>
                <c:pt idx="40">
                  <c:v>-7.4487207260471564</c:v>
                </c:pt>
                <c:pt idx="41">
                  <c:v>-7.5349387441983353</c:v>
                </c:pt>
                <c:pt idx="42">
                  <c:v>-7.6211567623495142</c:v>
                </c:pt>
                <c:pt idx="43">
                  <c:v>-7.7073747805006931</c:v>
                </c:pt>
                <c:pt idx="44">
                  <c:v>-7.793592798651872</c:v>
                </c:pt>
                <c:pt idx="45">
                  <c:v>-7.879810816803051</c:v>
                </c:pt>
                <c:pt idx="46">
                  <c:v>-7.9660288349542299</c:v>
                </c:pt>
                <c:pt idx="47">
                  <c:v>-8.0522468531054088</c:v>
                </c:pt>
                <c:pt idx="48">
                  <c:v>-8.1384648712565877</c:v>
                </c:pt>
                <c:pt idx="49">
                  <c:v>-8.2246828894077666</c:v>
                </c:pt>
                <c:pt idx="50">
                  <c:v>-8.3109009075589455</c:v>
                </c:pt>
                <c:pt idx="51">
                  <c:v>-8.3971189257101244</c:v>
                </c:pt>
                <c:pt idx="52">
                  <c:v>-8.4833369438613033</c:v>
                </c:pt>
                <c:pt idx="53">
                  <c:v>-8.5695549620124822</c:v>
                </c:pt>
                <c:pt idx="54">
                  <c:v>-8.6557729801636611</c:v>
                </c:pt>
                <c:pt idx="55">
                  <c:v>-8.7419909983148401</c:v>
                </c:pt>
                <c:pt idx="56">
                  <c:v>-8.828209016466019</c:v>
                </c:pt>
                <c:pt idx="57">
                  <c:v>-8.9144270346171979</c:v>
                </c:pt>
                <c:pt idx="58">
                  <c:v>-9.0006450527683768</c:v>
                </c:pt>
                <c:pt idx="59">
                  <c:v>-9.0868630709195557</c:v>
                </c:pt>
                <c:pt idx="60">
                  <c:v>-9.1730810890707346</c:v>
                </c:pt>
              </c:numCache>
            </c:numRef>
          </c:xVal>
          <c:yVal>
            <c:numRef>
              <c:f>Proportion!$X$5:$X$65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9.4441744002809325E-5</c:v>
                </c:pt>
                <c:pt idx="2">
                  <c:v>6.6152374541940417E-5</c:v>
                </c:pt>
                <c:pt idx="3">
                  <c:v>4.5993719152464709E-5</c:v>
                </c:pt>
                <c:pt idx="4">
                  <c:v>3.1741194906885167E-5</c:v>
                </c:pt>
                <c:pt idx="5">
                  <c:v>2.1743010043292714E-5</c:v>
                </c:pt>
                <c:pt idx="6">
                  <c:v>1.4783855626983362E-5</c:v>
                </c:pt>
                <c:pt idx="7">
                  <c:v>9.9776303625251594E-6</c:v>
                </c:pt>
                <c:pt idx="8">
                  <c:v>6.6840356944157771E-6</c:v>
                </c:pt>
                <c:pt idx="9">
                  <c:v>4.4444882449082943E-6</c:v>
                </c:pt>
                <c:pt idx="10">
                  <c:v>2.9334346324706729E-6</c:v>
                </c:pt>
                <c:pt idx="11">
                  <c:v>1.9217757983190833E-6</c:v>
                </c:pt>
                <c:pt idx="12">
                  <c:v>1.2496853434936073E-6</c:v>
                </c:pt>
                <c:pt idx="13">
                  <c:v>8.0662241184172228E-7</c:v>
                </c:pt>
                <c:pt idx="14">
                  <c:v>5.1678695754006279E-7</c:v>
                </c:pt>
                <c:pt idx="15">
                  <c:v>3.2864305287114127E-7</c:v>
                </c:pt>
                <c:pt idx="16">
                  <c:v>2.0744788891366422E-7</c:v>
                </c:pt>
                <c:pt idx="17">
                  <c:v>1.2997661867983859E-7</c:v>
                </c:pt>
                <c:pt idx="18">
                  <c:v>8.0833819726170504E-8</c:v>
                </c:pt>
                <c:pt idx="19">
                  <c:v>4.9899089356395513E-8</c:v>
                </c:pt>
                <c:pt idx="20">
                  <c:v>3.0574811636896067E-8</c:v>
                </c:pt>
                <c:pt idx="21">
                  <c:v>1.8595446554561217E-8</c:v>
                </c:pt>
                <c:pt idx="22">
                  <c:v>1.1225897840161029E-8</c:v>
                </c:pt>
                <c:pt idx="23">
                  <c:v>6.7267797941073288E-9</c:v>
                </c:pt>
                <c:pt idx="24">
                  <c:v>4.0009671720311549E-9</c:v>
                </c:pt>
                <c:pt idx="25">
                  <c:v>2.3620789901428438E-9</c:v>
                </c:pt>
                <c:pt idx="26">
                  <c:v>1.3841893300317018E-9</c:v>
                </c:pt>
                <c:pt idx="27">
                  <c:v>8.0513411581915812E-10</c:v>
                </c:pt>
                <c:pt idx="28">
                  <c:v>4.6484976225462E-10</c:v>
                </c:pt>
                <c:pt idx="29">
                  <c:v>2.6639658225611919E-10</c:v>
                </c:pt>
                <c:pt idx="30">
                  <c:v>1.5153618030309598E-10</c:v>
                </c:pt>
                <c:pt idx="31">
                  <c:v>8.5560965169845804E-11</c:v>
                </c:pt>
                <c:pt idx="32">
                  <c:v>4.7951993382296222E-11</c:v>
                </c:pt>
                <c:pt idx="33">
                  <c:v>2.6675299735925074E-11</c:v>
                </c:pt>
                <c:pt idx="34">
                  <c:v>1.4729350682400612E-11</c:v>
                </c:pt>
                <c:pt idx="35">
                  <c:v>8.0728995371597087E-12</c:v>
                </c:pt>
                <c:pt idx="36">
                  <c:v>4.3918464276590133E-12</c:v>
                </c:pt>
                <c:pt idx="37">
                  <c:v>2.3715724395407062E-12</c:v>
                </c:pt>
                <c:pt idx="38">
                  <c:v>1.2711514453791758E-12</c:v>
                </c:pt>
                <c:pt idx="39">
                  <c:v>6.7628514539413816E-13</c:v>
                </c:pt>
                <c:pt idx="40">
                  <c:v>3.5713634741032575E-13</c:v>
                </c:pt>
                <c:pt idx="41">
                  <c:v>1.8720175187295784E-13</c:v>
                </c:pt>
                <c:pt idx="42">
                  <c:v>9.7399654513526304E-14</c:v>
                </c:pt>
                <c:pt idx="43">
                  <c:v>5.0300994996719735E-14</c:v>
                </c:pt>
                <c:pt idx="44">
                  <c:v>2.5785014919306684E-14</c:v>
                </c:pt>
                <c:pt idx="45">
                  <c:v>1.3119879609948304E-14</c:v>
                </c:pt>
                <c:pt idx="46">
                  <c:v>6.626191216974852E-15</c:v>
                </c:pt>
                <c:pt idx="47">
                  <c:v>3.3217713175443593E-15</c:v>
                </c:pt>
                <c:pt idx="48">
                  <c:v>1.6529021660047056E-15</c:v>
                </c:pt>
                <c:pt idx="49">
                  <c:v>8.1638725943777088E-16</c:v>
                </c:pt>
                <c:pt idx="50">
                  <c:v>4.0023672840204023E-16</c:v>
                </c:pt>
                <c:pt idx="51">
                  <c:v>1.947642814783563E-16</c:v>
                </c:pt>
                <c:pt idx="52">
                  <c:v>9.4074807397404464E-17</c:v>
                </c:pt>
                <c:pt idx="53">
                  <c:v>4.5103372284783983E-17</c:v>
                </c:pt>
                <c:pt idx="54">
                  <c:v>2.1464280868991893E-17</c:v>
                </c:pt>
                <c:pt idx="55">
                  <c:v>1.0139004657947473E-17</c:v>
                </c:pt>
                <c:pt idx="56">
                  <c:v>4.7538552549986399E-18</c:v>
                </c:pt>
                <c:pt idx="57">
                  <c:v>2.2124233714585937E-18</c:v>
                </c:pt>
                <c:pt idx="58">
                  <c:v>1.0220265375400277E-18</c:v>
                </c:pt>
                <c:pt idx="59">
                  <c:v>4.6862748830854974E-19</c:v>
                </c:pt>
                <c:pt idx="60">
                  <c:v>2.1328730067937054E-19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8-1946-B908-E38EDAB98831}"/>
            </c:ext>
          </c:extLst>
        </c:ser>
        <c:ser>
          <c:idx val="2"/>
          <c:order val="1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Proportion!$Z$5:$Z$65</c:f>
              <c:numCache>
                <c:formatCode>0.000</c:formatCode>
                <c:ptCount val="61"/>
                <c:pt idx="0">
                  <c:v>4</c:v>
                </c:pt>
                <c:pt idx="1">
                  <c:v>4.0862180181511789</c:v>
                </c:pt>
                <c:pt idx="2">
                  <c:v>4.1724360363023578</c:v>
                </c:pt>
                <c:pt idx="3">
                  <c:v>4.2586540544535367</c:v>
                </c:pt>
                <c:pt idx="4">
                  <c:v>4.3448720726047156</c:v>
                </c:pt>
                <c:pt idx="5">
                  <c:v>4.4310900907558946</c:v>
                </c:pt>
                <c:pt idx="6">
                  <c:v>4.5173081089070735</c:v>
                </c:pt>
                <c:pt idx="7">
                  <c:v>4.6035261270582524</c:v>
                </c:pt>
                <c:pt idx="8">
                  <c:v>4.6897441452094313</c:v>
                </c:pt>
                <c:pt idx="9">
                  <c:v>4.7759621633606102</c:v>
                </c:pt>
                <c:pt idx="10">
                  <c:v>4.8621801815117891</c:v>
                </c:pt>
                <c:pt idx="11">
                  <c:v>4.948398199662968</c:v>
                </c:pt>
                <c:pt idx="12">
                  <c:v>5.0346162178141469</c:v>
                </c:pt>
                <c:pt idx="13">
                  <c:v>5.1208342359653258</c:v>
                </c:pt>
                <c:pt idx="14">
                  <c:v>5.2070522541165047</c:v>
                </c:pt>
                <c:pt idx="15">
                  <c:v>5.2932702722676837</c:v>
                </c:pt>
                <c:pt idx="16">
                  <c:v>5.3794882904188626</c:v>
                </c:pt>
                <c:pt idx="17">
                  <c:v>5.4657063085700415</c:v>
                </c:pt>
                <c:pt idx="18">
                  <c:v>5.5519243267212204</c:v>
                </c:pt>
                <c:pt idx="19">
                  <c:v>5.6381423448723993</c:v>
                </c:pt>
                <c:pt idx="20">
                  <c:v>5.7243603630235782</c:v>
                </c:pt>
                <c:pt idx="21">
                  <c:v>5.8105783811747571</c:v>
                </c:pt>
                <c:pt idx="22">
                  <c:v>5.896796399325936</c:v>
                </c:pt>
                <c:pt idx="23">
                  <c:v>5.9830144174771149</c:v>
                </c:pt>
                <c:pt idx="24">
                  <c:v>6.0692324356282938</c:v>
                </c:pt>
                <c:pt idx="25">
                  <c:v>6.1554504537794728</c:v>
                </c:pt>
                <c:pt idx="26">
                  <c:v>6.2416684719306517</c:v>
                </c:pt>
                <c:pt idx="27">
                  <c:v>6.3278864900818306</c:v>
                </c:pt>
                <c:pt idx="28">
                  <c:v>6.4141045082330095</c:v>
                </c:pt>
                <c:pt idx="29">
                  <c:v>6.5003225263841884</c:v>
                </c:pt>
                <c:pt idx="30">
                  <c:v>6.5865405445353673</c:v>
                </c:pt>
                <c:pt idx="31">
                  <c:v>6.6727585626865462</c:v>
                </c:pt>
                <c:pt idx="32">
                  <c:v>6.7589765808377251</c:v>
                </c:pt>
                <c:pt idx="33">
                  <c:v>6.845194598988904</c:v>
                </c:pt>
                <c:pt idx="34">
                  <c:v>6.9314126171400829</c:v>
                </c:pt>
                <c:pt idx="35">
                  <c:v>7.0176306352912619</c:v>
                </c:pt>
                <c:pt idx="36">
                  <c:v>7.1038486534424408</c:v>
                </c:pt>
                <c:pt idx="37">
                  <c:v>7.1900666715936197</c:v>
                </c:pt>
                <c:pt idx="38">
                  <c:v>7.2762846897447986</c:v>
                </c:pt>
                <c:pt idx="39">
                  <c:v>7.3625027078959775</c:v>
                </c:pt>
                <c:pt idx="40">
                  <c:v>7.4487207260471564</c:v>
                </c:pt>
                <c:pt idx="41">
                  <c:v>7.5349387441983353</c:v>
                </c:pt>
                <c:pt idx="42">
                  <c:v>7.6211567623495142</c:v>
                </c:pt>
                <c:pt idx="43">
                  <c:v>7.7073747805006931</c:v>
                </c:pt>
                <c:pt idx="44">
                  <c:v>7.793592798651872</c:v>
                </c:pt>
                <c:pt idx="45">
                  <c:v>7.879810816803051</c:v>
                </c:pt>
                <c:pt idx="46">
                  <c:v>7.9660288349542299</c:v>
                </c:pt>
                <c:pt idx="47">
                  <c:v>8.0522468531054088</c:v>
                </c:pt>
                <c:pt idx="48">
                  <c:v>8.1384648712565877</c:v>
                </c:pt>
                <c:pt idx="49">
                  <c:v>8.2246828894077666</c:v>
                </c:pt>
                <c:pt idx="50">
                  <c:v>8.3109009075589455</c:v>
                </c:pt>
                <c:pt idx="51">
                  <c:v>8.3971189257101244</c:v>
                </c:pt>
                <c:pt idx="52">
                  <c:v>8.4833369438613033</c:v>
                </c:pt>
                <c:pt idx="53">
                  <c:v>8.5695549620124822</c:v>
                </c:pt>
                <c:pt idx="54">
                  <c:v>8.6557729801636611</c:v>
                </c:pt>
                <c:pt idx="55">
                  <c:v>8.7419909983148401</c:v>
                </c:pt>
                <c:pt idx="56">
                  <c:v>8.828209016466019</c:v>
                </c:pt>
                <c:pt idx="57">
                  <c:v>8.9144270346171979</c:v>
                </c:pt>
                <c:pt idx="58">
                  <c:v>9.0006450527683768</c:v>
                </c:pt>
                <c:pt idx="59">
                  <c:v>9.0868630709195557</c:v>
                </c:pt>
                <c:pt idx="60">
                  <c:v>9.1730810890707346</c:v>
                </c:pt>
              </c:numCache>
            </c:numRef>
          </c:xVal>
          <c:yVal>
            <c:numRef>
              <c:f>Proportion!$AA$5:$AA$65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9.4441744002809325E-5</c:v>
                </c:pt>
                <c:pt idx="2">
                  <c:v>6.6152374541940417E-5</c:v>
                </c:pt>
                <c:pt idx="3">
                  <c:v>4.5993719152464709E-5</c:v>
                </c:pt>
                <c:pt idx="4">
                  <c:v>3.1741194906885167E-5</c:v>
                </c:pt>
                <c:pt idx="5">
                  <c:v>2.1743010043292714E-5</c:v>
                </c:pt>
                <c:pt idx="6">
                  <c:v>1.4783855626983362E-5</c:v>
                </c:pt>
                <c:pt idx="7">
                  <c:v>9.9776303625251594E-6</c:v>
                </c:pt>
                <c:pt idx="8">
                  <c:v>6.6840356944157771E-6</c:v>
                </c:pt>
                <c:pt idx="9">
                  <c:v>4.4444882449082943E-6</c:v>
                </c:pt>
                <c:pt idx="10">
                  <c:v>2.9334346324706729E-6</c:v>
                </c:pt>
                <c:pt idx="11">
                  <c:v>1.9217757983190833E-6</c:v>
                </c:pt>
                <c:pt idx="12">
                  <c:v>1.2496853434936073E-6</c:v>
                </c:pt>
                <c:pt idx="13">
                  <c:v>8.0662241184172228E-7</c:v>
                </c:pt>
                <c:pt idx="14">
                  <c:v>5.1678695754006279E-7</c:v>
                </c:pt>
                <c:pt idx="15">
                  <c:v>3.2864305287114127E-7</c:v>
                </c:pt>
                <c:pt idx="16">
                  <c:v>2.0744788891366422E-7</c:v>
                </c:pt>
                <c:pt idx="17">
                  <c:v>1.2997661867983859E-7</c:v>
                </c:pt>
                <c:pt idx="18">
                  <c:v>8.0833819726170504E-8</c:v>
                </c:pt>
                <c:pt idx="19">
                  <c:v>4.9899089356395513E-8</c:v>
                </c:pt>
                <c:pt idx="20">
                  <c:v>3.0574811636896067E-8</c:v>
                </c:pt>
                <c:pt idx="21">
                  <c:v>1.8595446554561217E-8</c:v>
                </c:pt>
                <c:pt idx="22">
                  <c:v>1.1225897840161029E-8</c:v>
                </c:pt>
                <c:pt idx="23">
                  <c:v>6.7267797941073288E-9</c:v>
                </c:pt>
                <c:pt idx="24">
                  <c:v>4.0009671720311549E-9</c:v>
                </c:pt>
                <c:pt idx="25">
                  <c:v>2.3620789901428438E-9</c:v>
                </c:pt>
                <c:pt idx="26">
                  <c:v>1.3841893300317018E-9</c:v>
                </c:pt>
                <c:pt idx="27">
                  <c:v>8.0513411581915812E-10</c:v>
                </c:pt>
                <c:pt idx="28">
                  <c:v>4.6484976225462E-10</c:v>
                </c:pt>
                <c:pt idx="29">
                  <c:v>2.6639658225611919E-10</c:v>
                </c:pt>
                <c:pt idx="30">
                  <c:v>1.5153618030309598E-10</c:v>
                </c:pt>
                <c:pt idx="31">
                  <c:v>8.5560965169845804E-11</c:v>
                </c:pt>
                <c:pt idx="32">
                  <c:v>4.7951993382296222E-11</c:v>
                </c:pt>
                <c:pt idx="33">
                  <c:v>2.6675299735925074E-11</c:v>
                </c:pt>
                <c:pt idx="34">
                  <c:v>1.4729350682400612E-11</c:v>
                </c:pt>
                <c:pt idx="35">
                  <c:v>8.0728995371597087E-12</c:v>
                </c:pt>
                <c:pt idx="36">
                  <c:v>4.3918464276590133E-12</c:v>
                </c:pt>
                <c:pt idx="37">
                  <c:v>2.3715724395407062E-12</c:v>
                </c:pt>
                <c:pt idx="38">
                  <c:v>1.2711514453791758E-12</c:v>
                </c:pt>
                <c:pt idx="39">
                  <c:v>6.7628514539413816E-13</c:v>
                </c:pt>
                <c:pt idx="40">
                  <c:v>3.5713634741032575E-13</c:v>
                </c:pt>
                <c:pt idx="41">
                  <c:v>1.8720175187295784E-13</c:v>
                </c:pt>
                <c:pt idx="42">
                  <c:v>9.7399654513526304E-14</c:v>
                </c:pt>
                <c:pt idx="43">
                  <c:v>5.0300994996719735E-14</c:v>
                </c:pt>
                <c:pt idx="44">
                  <c:v>2.5785014919306684E-14</c:v>
                </c:pt>
                <c:pt idx="45">
                  <c:v>1.3119879609948304E-14</c:v>
                </c:pt>
                <c:pt idx="46">
                  <c:v>6.626191216974852E-15</c:v>
                </c:pt>
                <c:pt idx="47">
                  <c:v>3.3217713175443593E-15</c:v>
                </c:pt>
                <c:pt idx="48">
                  <c:v>1.6529021660047056E-15</c:v>
                </c:pt>
                <c:pt idx="49">
                  <c:v>8.1638725943777088E-16</c:v>
                </c:pt>
                <c:pt idx="50">
                  <c:v>4.0023672840204023E-16</c:v>
                </c:pt>
                <c:pt idx="51">
                  <c:v>1.947642814783563E-16</c:v>
                </c:pt>
                <c:pt idx="52">
                  <c:v>9.4074807397404464E-17</c:v>
                </c:pt>
                <c:pt idx="53">
                  <c:v>4.5103372284783983E-17</c:v>
                </c:pt>
                <c:pt idx="54">
                  <c:v>2.1464280868991893E-17</c:v>
                </c:pt>
                <c:pt idx="55">
                  <c:v>1.0139004657947473E-17</c:v>
                </c:pt>
                <c:pt idx="56">
                  <c:v>4.7538552549986399E-18</c:v>
                </c:pt>
                <c:pt idx="57">
                  <c:v>2.2124233714585937E-18</c:v>
                </c:pt>
                <c:pt idx="58">
                  <c:v>1.0220265375400277E-18</c:v>
                </c:pt>
                <c:pt idx="59">
                  <c:v>4.6862748830854974E-19</c:v>
                </c:pt>
                <c:pt idx="60">
                  <c:v>2.1328730067937054E-19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8-1946-B908-E38EDAB98831}"/>
            </c:ext>
          </c:extLst>
        </c:ser>
        <c:ser>
          <c:idx val="0"/>
          <c:order val="2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Proportion!$R$5:$R$65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Proportion!$S$5:$S$65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8-1946-B908-E38EDAB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23776"/>
        <c:axId val="660627040"/>
      </c:scatterChart>
      <c:valAx>
        <c:axId val="660623776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60627040"/>
        <c:crosses val="autoZero"/>
        <c:crossBetween val="midCat"/>
        <c:majorUnit val="1"/>
      </c:valAx>
      <c:valAx>
        <c:axId val="6606270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60623776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 for One-Tailed Lower</a:t>
            </a:r>
          </a:p>
        </c:rich>
      </c:tx>
      <c:layout>
        <c:manualLayout>
          <c:xMode val="edge"/>
          <c:yMode val="edge"/>
          <c:x val="0.25724569489789401"/>
          <c:y val="4.58016418160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185905680507E-2"/>
          <c:y val="0.25190910115929799"/>
          <c:w val="0.83695504105270402"/>
          <c:h val="0.511451811444636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Proportion!$W$5:$W$65</c:f>
              <c:numCache>
                <c:formatCode>0.000</c:formatCode>
                <c:ptCount val="61"/>
                <c:pt idx="0">
                  <c:v>-4</c:v>
                </c:pt>
                <c:pt idx="1">
                  <c:v>-4.0862180181511789</c:v>
                </c:pt>
                <c:pt idx="2">
                  <c:v>-4.1724360363023578</c:v>
                </c:pt>
                <c:pt idx="3">
                  <c:v>-4.2586540544535367</c:v>
                </c:pt>
                <c:pt idx="4">
                  <c:v>-4.3448720726047156</c:v>
                </c:pt>
                <c:pt idx="5">
                  <c:v>-4.4310900907558946</c:v>
                </c:pt>
                <c:pt idx="6">
                  <c:v>-4.5173081089070735</c:v>
                </c:pt>
                <c:pt idx="7">
                  <c:v>-4.6035261270582524</c:v>
                </c:pt>
                <c:pt idx="8">
                  <c:v>-4.6897441452094313</c:v>
                </c:pt>
                <c:pt idx="9">
                  <c:v>-4.7759621633606102</c:v>
                </c:pt>
                <c:pt idx="10">
                  <c:v>-4.8621801815117891</c:v>
                </c:pt>
                <c:pt idx="11">
                  <c:v>-4.948398199662968</c:v>
                </c:pt>
                <c:pt idx="12">
                  <c:v>-5.0346162178141469</c:v>
                </c:pt>
                <c:pt idx="13">
                  <c:v>-5.1208342359653258</c:v>
                </c:pt>
                <c:pt idx="14">
                  <c:v>-5.2070522541165047</c:v>
                </c:pt>
                <c:pt idx="15">
                  <c:v>-5.2932702722676837</c:v>
                </c:pt>
                <c:pt idx="16">
                  <c:v>-5.3794882904188626</c:v>
                </c:pt>
                <c:pt idx="17">
                  <c:v>-5.4657063085700415</c:v>
                </c:pt>
                <c:pt idx="18">
                  <c:v>-5.5519243267212204</c:v>
                </c:pt>
                <c:pt idx="19">
                  <c:v>-5.6381423448723993</c:v>
                </c:pt>
                <c:pt idx="20">
                  <c:v>-5.7243603630235782</c:v>
                </c:pt>
                <c:pt idx="21">
                  <c:v>-5.8105783811747571</c:v>
                </c:pt>
                <c:pt idx="22">
                  <c:v>-5.896796399325936</c:v>
                </c:pt>
                <c:pt idx="23">
                  <c:v>-5.9830144174771149</c:v>
                </c:pt>
                <c:pt idx="24">
                  <c:v>-6.0692324356282938</c:v>
                </c:pt>
                <c:pt idx="25">
                  <c:v>-6.1554504537794728</c:v>
                </c:pt>
                <c:pt idx="26">
                  <c:v>-6.2416684719306517</c:v>
                </c:pt>
                <c:pt idx="27">
                  <c:v>-6.3278864900818306</c:v>
                </c:pt>
                <c:pt idx="28">
                  <c:v>-6.4141045082330095</c:v>
                </c:pt>
                <c:pt idx="29">
                  <c:v>-6.5003225263841884</c:v>
                </c:pt>
                <c:pt idx="30">
                  <c:v>-6.5865405445353673</c:v>
                </c:pt>
                <c:pt idx="31">
                  <c:v>-6.6727585626865462</c:v>
                </c:pt>
                <c:pt idx="32">
                  <c:v>-6.7589765808377251</c:v>
                </c:pt>
                <c:pt idx="33">
                  <c:v>-6.845194598988904</c:v>
                </c:pt>
                <c:pt idx="34">
                  <c:v>-6.9314126171400829</c:v>
                </c:pt>
                <c:pt idx="35">
                  <c:v>-7.0176306352912619</c:v>
                </c:pt>
                <c:pt idx="36">
                  <c:v>-7.1038486534424408</c:v>
                </c:pt>
                <c:pt idx="37">
                  <c:v>-7.1900666715936197</c:v>
                </c:pt>
                <c:pt idx="38">
                  <c:v>-7.2762846897447986</c:v>
                </c:pt>
                <c:pt idx="39">
                  <c:v>-7.3625027078959775</c:v>
                </c:pt>
                <c:pt idx="40">
                  <c:v>-7.4487207260471564</c:v>
                </c:pt>
                <c:pt idx="41">
                  <c:v>-7.5349387441983353</c:v>
                </c:pt>
                <c:pt idx="42">
                  <c:v>-7.6211567623495142</c:v>
                </c:pt>
                <c:pt idx="43">
                  <c:v>-7.7073747805006931</c:v>
                </c:pt>
                <c:pt idx="44">
                  <c:v>-7.793592798651872</c:v>
                </c:pt>
                <c:pt idx="45">
                  <c:v>-7.879810816803051</c:v>
                </c:pt>
                <c:pt idx="46">
                  <c:v>-7.9660288349542299</c:v>
                </c:pt>
                <c:pt idx="47">
                  <c:v>-8.0522468531054088</c:v>
                </c:pt>
                <c:pt idx="48">
                  <c:v>-8.1384648712565877</c:v>
                </c:pt>
                <c:pt idx="49">
                  <c:v>-8.2246828894077666</c:v>
                </c:pt>
                <c:pt idx="50">
                  <c:v>-8.3109009075589455</c:v>
                </c:pt>
                <c:pt idx="51">
                  <c:v>-8.3971189257101244</c:v>
                </c:pt>
                <c:pt idx="52">
                  <c:v>-8.4833369438613033</c:v>
                </c:pt>
                <c:pt idx="53">
                  <c:v>-8.5695549620124822</c:v>
                </c:pt>
                <c:pt idx="54">
                  <c:v>-8.6557729801636611</c:v>
                </c:pt>
                <c:pt idx="55">
                  <c:v>-8.7419909983148401</c:v>
                </c:pt>
                <c:pt idx="56">
                  <c:v>-8.828209016466019</c:v>
                </c:pt>
                <c:pt idx="57">
                  <c:v>-8.9144270346171979</c:v>
                </c:pt>
                <c:pt idx="58">
                  <c:v>-9.0006450527683768</c:v>
                </c:pt>
                <c:pt idx="59">
                  <c:v>-9.0868630709195557</c:v>
                </c:pt>
                <c:pt idx="60">
                  <c:v>-9.1730810890707346</c:v>
                </c:pt>
              </c:numCache>
            </c:numRef>
          </c:xVal>
          <c:yVal>
            <c:numRef>
              <c:f>Proportion!$X$5:$X$65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9.4441744002809325E-5</c:v>
                </c:pt>
                <c:pt idx="2">
                  <c:v>6.6152374541940417E-5</c:v>
                </c:pt>
                <c:pt idx="3">
                  <c:v>4.5993719152464709E-5</c:v>
                </c:pt>
                <c:pt idx="4">
                  <c:v>3.1741194906885167E-5</c:v>
                </c:pt>
                <c:pt idx="5">
                  <c:v>2.1743010043292714E-5</c:v>
                </c:pt>
                <c:pt idx="6">
                  <c:v>1.4783855626983362E-5</c:v>
                </c:pt>
                <c:pt idx="7">
                  <c:v>9.9776303625251594E-6</c:v>
                </c:pt>
                <c:pt idx="8">
                  <c:v>6.6840356944157771E-6</c:v>
                </c:pt>
                <c:pt idx="9">
                  <c:v>4.4444882449082943E-6</c:v>
                </c:pt>
                <c:pt idx="10">
                  <c:v>2.9334346324706729E-6</c:v>
                </c:pt>
                <c:pt idx="11">
                  <c:v>1.9217757983190833E-6</c:v>
                </c:pt>
                <c:pt idx="12">
                  <c:v>1.2496853434936073E-6</c:v>
                </c:pt>
                <c:pt idx="13">
                  <c:v>8.0662241184172228E-7</c:v>
                </c:pt>
                <c:pt idx="14">
                  <c:v>5.1678695754006279E-7</c:v>
                </c:pt>
                <c:pt idx="15">
                  <c:v>3.2864305287114127E-7</c:v>
                </c:pt>
                <c:pt idx="16">
                  <c:v>2.0744788891366422E-7</c:v>
                </c:pt>
                <c:pt idx="17">
                  <c:v>1.2997661867983859E-7</c:v>
                </c:pt>
                <c:pt idx="18">
                  <c:v>8.0833819726170504E-8</c:v>
                </c:pt>
                <c:pt idx="19">
                  <c:v>4.9899089356395513E-8</c:v>
                </c:pt>
                <c:pt idx="20">
                  <c:v>3.0574811636896067E-8</c:v>
                </c:pt>
                <c:pt idx="21">
                  <c:v>1.8595446554561217E-8</c:v>
                </c:pt>
                <c:pt idx="22">
                  <c:v>1.1225897840161029E-8</c:v>
                </c:pt>
                <c:pt idx="23">
                  <c:v>6.7267797941073288E-9</c:v>
                </c:pt>
                <c:pt idx="24">
                  <c:v>4.0009671720311549E-9</c:v>
                </c:pt>
                <c:pt idx="25">
                  <c:v>2.3620789901428438E-9</c:v>
                </c:pt>
                <c:pt idx="26">
                  <c:v>1.3841893300317018E-9</c:v>
                </c:pt>
                <c:pt idx="27">
                  <c:v>8.0513411581915812E-10</c:v>
                </c:pt>
                <c:pt idx="28">
                  <c:v>4.6484976225462E-10</c:v>
                </c:pt>
                <c:pt idx="29">
                  <c:v>2.6639658225611919E-10</c:v>
                </c:pt>
                <c:pt idx="30">
                  <c:v>1.5153618030309598E-10</c:v>
                </c:pt>
                <c:pt idx="31">
                  <c:v>8.5560965169845804E-11</c:v>
                </c:pt>
                <c:pt idx="32">
                  <c:v>4.7951993382296222E-11</c:v>
                </c:pt>
                <c:pt idx="33">
                  <c:v>2.6675299735925074E-11</c:v>
                </c:pt>
                <c:pt idx="34">
                  <c:v>1.4729350682400612E-11</c:v>
                </c:pt>
                <c:pt idx="35">
                  <c:v>8.0728995371597087E-12</c:v>
                </c:pt>
                <c:pt idx="36">
                  <c:v>4.3918464276590133E-12</c:v>
                </c:pt>
                <c:pt idx="37">
                  <c:v>2.3715724395407062E-12</c:v>
                </c:pt>
                <c:pt idx="38">
                  <c:v>1.2711514453791758E-12</c:v>
                </c:pt>
                <c:pt idx="39">
                  <c:v>6.7628514539413816E-13</c:v>
                </c:pt>
                <c:pt idx="40">
                  <c:v>3.5713634741032575E-13</c:v>
                </c:pt>
                <c:pt idx="41">
                  <c:v>1.8720175187295784E-13</c:v>
                </c:pt>
                <c:pt idx="42">
                  <c:v>9.7399654513526304E-14</c:v>
                </c:pt>
                <c:pt idx="43">
                  <c:v>5.0300994996719735E-14</c:v>
                </c:pt>
                <c:pt idx="44">
                  <c:v>2.5785014919306684E-14</c:v>
                </c:pt>
                <c:pt idx="45">
                  <c:v>1.3119879609948304E-14</c:v>
                </c:pt>
                <c:pt idx="46">
                  <c:v>6.626191216974852E-15</c:v>
                </c:pt>
                <c:pt idx="47">
                  <c:v>3.3217713175443593E-15</c:v>
                </c:pt>
                <c:pt idx="48">
                  <c:v>1.6529021660047056E-15</c:v>
                </c:pt>
                <c:pt idx="49">
                  <c:v>8.1638725943777088E-16</c:v>
                </c:pt>
                <c:pt idx="50">
                  <c:v>4.0023672840204023E-16</c:v>
                </c:pt>
                <c:pt idx="51">
                  <c:v>1.947642814783563E-16</c:v>
                </c:pt>
                <c:pt idx="52">
                  <c:v>9.4074807397404464E-17</c:v>
                </c:pt>
                <c:pt idx="53">
                  <c:v>4.5103372284783983E-17</c:v>
                </c:pt>
                <c:pt idx="54">
                  <c:v>2.1464280868991893E-17</c:v>
                </c:pt>
                <c:pt idx="55">
                  <c:v>1.0139004657947473E-17</c:v>
                </c:pt>
                <c:pt idx="56">
                  <c:v>4.7538552549986399E-18</c:v>
                </c:pt>
                <c:pt idx="57">
                  <c:v>2.2124233714585937E-18</c:v>
                </c:pt>
                <c:pt idx="58">
                  <c:v>1.0220265375400277E-18</c:v>
                </c:pt>
                <c:pt idx="59">
                  <c:v>4.6862748830854974E-19</c:v>
                </c:pt>
                <c:pt idx="60">
                  <c:v>2.1328730067937054E-19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2-0740-8E7B-7F97D3E8A272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Proportion!$R$5:$R$65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Proportion!$S$5:$S$65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2-0740-8E7B-7F97D3E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7232"/>
        <c:axId val="659609984"/>
      </c:scatterChart>
      <c:valAx>
        <c:axId val="659607232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9609984"/>
        <c:crosses val="autoZero"/>
        <c:crossBetween val="midCat"/>
        <c:majorUnit val="1"/>
      </c:valAx>
      <c:valAx>
        <c:axId val="659609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9607232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One-Tailed Upper</a:t>
            </a:r>
          </a:p>
        </c:rich>
      </c:tx>
      <c:layout>
        <c:manualLayout>
          <c:xMode val="edge"/>
          <c:yMode val="edge"/>
          <c:x val="0.24817518248175199"/>
          <c:y val="5.303038704668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41643236432897E-2"/>
          <c:y val="0.24999907522832601"/>
          <c:w val="0.83576679570187595"/>
          <c:h val="0.51514960956139899"/>
        </c:manualLayout>
      </c:layout>
      <c:scatterChart>
        <c:scatterStyle val="smoothMarker"/>
        <c:varyColors val="0"/>
        <c:ser>
          <c:idx val="2"/>
          <c:order val="0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Proportion!$Z$5:$Z$65</c:f>
              <c:numCache>
                <c:formatCode>0.000</c:formatCode>
                <c:ptCount val="61"/>
                <c:pt idx="0">
                  <c:v>4</c:v>
                </c:pt>
                <c:pt idx="1">
                  <c:v>4.0862180181511789</c:v>
                </c:pt>
                <c:pt idx="2">
                  <c:v>4.1724360363023578</c:v>
                </c:pt>
                <c:pt idx="3">
                  <c:v>4.2586540544535367</c:v>
                </c:pt>
                <c:pt idx="4">
                  <c:v>4.3448720726047156</c:v>
                </c:pt>
                <c:pt idx="5">
                  <c:v>4.4310900907558946</c:v>
                </c:pt>
                <c:pt idx="6">
                  <c:v>4.5173081089070735</c:v>
                </c:pt>
                <c:pt idx="7">
                  <c:v>4.6035261270582524</c:v>
                </c:pt>
                <c:pt idx="8">
                  <c:v>4.6897441452094313</c:v>
                </c:pt>
                <c:pt idx="9">
                  <c:v>4.7759621633606102</c:v>
                </c:pt>
                <c:pt idx="10">
                  <c:v>4.8621801815117891</c:v>
                </c:pt>
                <c:pt idx="11">
                  <c:v>4.948398199662968</c:v>
                </c:pt>
                <c:pt idx="12">
                  <c:v>5.0346162178141469</c:v>
                </c:pt>
                <c:pt idx="13">
                  <c:v>5.1208342359653258</c:v>
                </c:pt>
                <c:pt idx="14">
                  <c:v>5.2070522541165047</c:v>
                </c:pt>
                <c:pt idx="15">
                  <c:v>5.2932702722676837</c:v>
                </c:pt>
                <c:pt idx="16">
                  <c:v>5.3794882904188626</c:v>
                </c:pt>
                <c:pt idx="17">
                  <c:v>5.4657063085700415</c:v>
                </c:pt>
                <c:pt idx="18">
                  <c:v>5.5519243267212204</c:v>
                </c:pt>
                <c:pt idx="19">
                  <c:v>5.6381423448723993</c:v>
                </c:pt>
                <c:pt idx="20">
                  <c:v>5.7243603630235782</c:v>
                </c:pt>
                <c:pt idx="21">
                  <c:v>5.8105783811747571</c:v>
                </c:pt>
                <c:pt idx="22">
                  <c:v>5.896796399325936</c:v>
                </c:pt>
                <c:pt idx="23">
                  <c:v>5.9830144174771149</c:v>
                </c:pt>
                <c:pt idx="24">
                  <c:v>6.0692324356282938</c:v>
                </c:pt>
                <c:pt idx="25">
                  <c:v>6.1554504537794728</c:v>
                </c:pt>
                <c:pt idx="26">
                  <c:v>6.2416684719306517</c:v>
                </c:pt>
                <c:pt idx="27">
                  <c:v>6.3278864900818306</c:v>
                </c:pt>
                <c:pt idx="28">
                  <c:v>6.4141045082330095</c:v>
                </c:pt>
                <c:pt idx="29">
                  <c:v>6.5003225263841884</c:v>
                </c:pt>
                <c:pt idx="30">
                  <c:v>6.5865405445353673</c:v>
                </c:pt>
                <c:pt idx="31">
                  <c:v>6.6727585626865462</c:v>
                </c:pt>
                <c:pt idx="32">
                  <c:v>6.7589765808377251</c:v>
                </c:pt>
                <c:pt idx="33">
                  <c:v>6.845194598988904</c:v>
                </c:pt>
                <c:pt idx="34">
                  <c:v>6.9314126171400829</c:v>
                </c:pt>
                <c:pt idx="35">
                  <c:v>7.0176306352912619</c:v>
                </c:pt>
                <c:pt idx="36">
                  <c:v>7.1038486534424408</c:v>
                </c:pt>
                <c:pt idx="37">
                  <c:v>7.1900666715936197</c:v>
                </c:pt>
                <c:pt idx="38">
                  <c:v>7.2762846897447986</c:v>
                </c:pt>
                <c:pt idx="39">
                  <c:v>7.3625027078959775</c:v>
                </c:pt>
                <c:pt idx="40">
                  <c:v>7.4487207260471564</c:v>
                </c:pt>
                <c:pt idx="41">
                  <c:v>7.5349387441983353</c:v>
                </c:pt>
                <c:pt idx="42">
                  <c:v>7.6211567623495142</c:v>
                </c:pt>
                <c:pt idx="43">
                  <c:v>7.7073747805006931</c:v>
                </c:pt>
                <c:pt idx="44">
                  <c:v>7.793592798651872</c:v>
                </c:pt>
                <c:pt idx="45">
                  <c:v>7.879810816803051</c:v>
                </c:pt>
                <c:pt idx="46">
                  <c:v>7.9660288349542299</c:v>
                </c:pt>
                <c:pt idx="47">
                  <c:v>8.0522468531054088</c:v>
                </c:pt>
                <c:pt idx="48">
                  <c:v>8.1384648712565877</c:v>
                </c:pt>
                <c:pt idx="49">
                  <c:v>8.2246828894077666</c:v>
                </c:pt>
                <c:pt idx="50">
                  <c:v>8.3109009075589455</c:v>
                </c:pt>
                <c:pt idx="51">
                  <c:v>8.3971189257101244</c:v>
                </c:pt>
                <c:pt idx="52">
                  <c:v>8.4833369438613033</c:v>
                </c:pt>
                <c:pt idx="53">
                  <c:v>8.5695549620124822</c:v>
                </c:pt>
                <c:pt idx="54">
                  <c:v>8.6557729801636611</c:v>
                </c:pt>
                <c:pt idx="55">
                  <c:v>8.7419909983148401</c:v>
                </c:pt>
                <c:pt idx="56">
                  <c:v>8.828209016466019</c:v>
                </c:pt>
                <c:pt idx="57">
                  <c:v>8.9144270346171979</c:v>
                </c:pt>
                <c:pt idx="58">
                  <c:v>9.0006450527683768</c:v>
                </c:pt>
                <c:pt idx="59">
                  <c:v>9.0868630709195557</c:v>
                </c:pt>
                <c:pt idx="60">
                  <c:v>9.1730810890707346</c:v>
                </c:pt>
              </c:numCache>
            </c:numRef>
          </c:xVal>
          <c:yVal>
            <c:numRef>
              <c:f>Proportion!$AA$5:$AA$65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9.4441744002809325E-5</c:v>
                </c:pt>
                <c:pt idx="2">
                  <c:v>6.6152374541940417E-5</c:v>
                </c:pt>
                <c:pt idx="3">
                  <c:v>4.5993719152464709E-5</c:v>
                </c:pt>
                <c:pt idx="4">
                  <c:v>3.1741194906885167E-5</c:v>
                </c:pt>
                <c:pt idx="5">
                  <c:v>2.1743010043292714E-5</c:v>
                </c:pt>
                <c:pt idx="6">
                  <c:v>1.4783855626983362E-5</c:v>
                </c:pt>
                <c:pt idx="7">
                  <c:v>9.9776303625251594E-6</c:v>
                </c:pt>
                <c:pt idx="8">
                  <c:v>6.6840356944157771E-6</c:v>
                </c:pt>
                <c:pt idx="9">
                  <c:v>4.4444882449082943E-6</c:v>
                </c:pt>
                <c:pt idx="10">
                  <c:v>2.9334346324706729E-6</c:v>
                </c:pt>
                <c:pt idx="11">
                  <c:v>1.9217757983190833E-6</c:v>
                </c:pt>
                <c:pt idx="12">
                  <c:v>1.2496853434936073E-6</c:v>
                </c:pt>
                <c:pt idx="13">
                  <c:v>8.0662241184172228E-7</c:v>
                </c:pt>
                <c:pt idx="14">
                  <c:v>5.1678695754006279E-7</c:v>
                </c:pt>
                <c:pt idx="15">
                  <c:v>3.2864305287114127E-7</c:v>
                </c:pt>
                <c:pt idx="16">
                  <c:v>2.0744788891366422E-7</c:v>
                </c:pt>
                <c:pt idx="17">
                  <c:v>1.2997661867983859E-7</c:v>
                </c:pt>
                <c:pt idx="18">
                  <c:v>8.0833819726170504E-8</c:v>
                </c:pt>
                <c:pt idx="19">
                  <c:v>4.9899089356395513E-8</c:v>
                </c:pt>
                <c:pt idx="20">
                  <c:v>3.0574811636896067E-8</c:v>
                </c:pt>
                <c:pt idx="21">
                  <c:v>1.8595446554561217E-8</c:v>
                </c:pt>
                <c:pt idx="22">
                  <c:v>1.1225897840161029E-8</c:v>
                </c:pt>
                <c:pt idx="23">
                  <c:v>6.7267797941073288E-9</c:v>
                </c:pt>
                <c:pt idx="24">
                  <c:v>4.0009671720311549E-9</c:v>
                </c:pt>
                <c:pt idx="25">
                  <c:v>2.3620789901428438E-9</c:v>
                </c:pt>
                <c:pt idx="26">
                  <c:v>1.3841893300317018E-9</c:v>
                </c:pt>
                <c:pt idx="27">
                  <c:v>8.0513411581915812E-10</c:v>
                </c:pt>
                <c:pt idx="28">
                  <c:v>4.6484976225462E-10</c:v>
                </c:pt>
                <c:pt idx="29">
                  <c:v>2.6639658225611919E-10</c:v>
                </c:pt>
                <c:pt idx="30">
                  <c:v>1.5153618030309598E-10</c:v>
                </c:pt>
                <c:pt idx="31">
                  <c:v>8.5560965169845804E-11</c:v>
                </c:pt>
                <c:pt idx="32">
                  <c:v>4.7951993382296222E-11</c:v>
                </c:pt>
                <c:pt idx="33">
                  <c:v>2.6675299735925074E-11</c:v>
                </c:pt>
                <c:pt idx="34">
                  <c:v>1.4729350682400612E-11</c:v>
                </c:pt>
                <c:pt idx="35">
                  <c:v>8.0728995371597087E-12</c:v>
                </c:pt>
                <c:pt idx="36">
                  <c:v>4.3918464276590133E-12</c:v>
                </c:pt>
                <c:pt idx="37">
                  <c:v>2.3715724395407062E-12</c:v>
                </c:pt>
                <c:pt idx="38">
                  <c:v>1.2711514453791758E-12</c:v>
                </c:pt>
                <c:pt idx="39">
                  <c:v>6.7628514539413816E-13</c:v>
                </c:pt>
                <c:pt idx="40">
                  <c:v>3.5713634741032575E-13</c:v>
                </c:pt>
                <c:pt idx="41">
                  <c:v>1.8720175187295784E-13</c:v>
                </c:pt>
                <c:pt idx="42">
                  <c:v>9.7399654513526304E-14</c:v>
                </c:pt>
                <c:pt idx="43">
                  <c:v>5.0300994996719735E-14</c:v>
                </c:pt>
                <c:pt idx="44">
                  <c:v>2.5785014919306684E-14</c:v>
                </c:pt>
                <c:pt idx="45">
                  <c:v>1.3119879609948304E-14</c:v>
                </c:pt>
                <c:pt idx="46">
                  <c:v>6.626191216974852E-15</c:v>
                </c:pt>
                <c:pt idx="47">
                  <c:v>3.3217713175443593E-15</c:v>
                </c:pt>
                <c:pt idx="48">
                  <c:v>1.6529021660047056E-15</c:v>
                </c:pt>
                <c:pt idx="49">
                  <c:v>8.1638725943777088E-16</c:v>
                </c:pt>
                <c:pt idx="50">
                  <c:v>4.0023672840204023E-16</c:v>
                </c:pt>
                <c:pt idx="51">
                  <c:v>1.947642814783563E-16</c:v>
                </c:pt>
                <c:pt idx="52">
                  <c:v>9.4074807397404464E-17</c:v>
                </c:pt>
                <c:pt idx="53">
                  <c:v>4.5103372284783983E-17</c:v>
                </c:pt>
                <c:pt idx="54">
                  <c:v>2.1464280868991893E-17</c:v>
                </c:pt>
                <c:pt idx="55">
                  <c:v>1.0139004657947473E-17</c:v>
                </c:pt>
                <c:pt idx="56">
                  <c:v>4.7538552549986399E-18</c:v>
                </c:pt>
                <c:pt idx="57">
                  <c:v>2.2124233714585937E-18</c:v>
                </c:pt>
                <c:pt idx="58">
                  <c:v>1.0220265375400277E-18</c:v>
                </c:pt>
                <c:pt idx="59">
                  <c:v>4.6862748830854974E-19</c:v>
                </c:pt>
                <c:pt idx="60">
                  <c:v>2.1328730067937054E-19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A-EF45-AB8A-EE70937A6150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Proportion!$R$5:$R$65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Proportion!$S$5:$S$65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A-EF45-AB8A-EE70937A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7600"/>
        <c:axId val="659640352"/>
      </c:scatterChart>
      <c:valAx>
        <c:axId val="659637600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9640352"/>
        <c:crosses val="autoZero"/>
        <c:crossBetween val="midCat"/>
        <c:majorUnit val="1"/>
      </c:valAx>
      <c:valAx>
        <c:axId val="6596403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9637600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Two-Tailed Test</a:t>
            </a:r>
          </a:p>
        </c:rich>
      </c:tx>
      <c:layout>
        <c:manualLayout>
          <c:xMode val="edge"/>
          <c:yMode val="edge"/>
          <c:x val="0.260073280073567"/>
          <c:y val="4.65116279069767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49046577628398E-2"/>
          <c:y val="0.25581371141659198"/>
          <c:w val="0.83516446172605496"/>
          <c:h val="0.503875492184195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'Mean Large'!$R$5:$R$65</c:f>
              <c:numCache>
                <c:formatCode>0.000</c:formatCode>
                <c:ptCount val="61"/>
                <c:pt idx="0">
                  <c:v>-4</c:v>
                </c:pt>
                <c:pt idx="1">
                  <c:v>-3.9616176045807951</c:v>
                </c:pt>
                <c:pt idx="2">
                  <c:v>-3.9232352091615903</c:v>
                </c:pt>
                <c:pt idx="3">
                  <c:v>-3.8848528137423854</c:v>
                </c:pt>
                <c:pt idx="4">
                  <c:v>-3.8464704183231806</c:v>
                </c:pt>
                <c:pt idx="5">
                  <c:v>-3.8080880229039757</c:v>
                </c:pt>
                <c:pt idx="6">
                  <c:v>-3.7697056274847709</c:v>
                </c:pt>
                <c:pt idx="7">
                  <c:v>-3.731323232065566</c:v>
                </c:pt>
                <c:pt idx="8">
                  <c:v>-3.6929408366463612</c:v>
                </c:pt>
                <c:pt idx="9">
                  <c:v>-3.6545584412271563</c:v>
                </c:pt>
                <c:pt idx="10">
                  <c:v>-3.6161760458079515</c:v>
                </c:pt>
                <c:pt idx="11">
                  <c:v>-3.5777936503887466</c:v>
                </c:pt>
                <c:pt idx="12">
                  <c:v>-3.5394112549695418</c:v>
                </c:pt>
                <c:pt idx="13">
                  <c:v>-3.5010288595503369</c:v>
                </c:pt>
                <c:pt idx="14">
                  <c:v>-3.4626464641311321</c:v>
                </c:pt>
                <c:pt idx="15">
                  <c:v>-3.4242640687119272</c:v>
                </c:pt>
                <c:pt idx="16">
                  <c:v>-3.3858816732927224</c:v>
                </c:pt>
                <c:pt idx="17">
                  <c:v>-3.3474992778735175</c:v>
                </c:pt>
                <c:pt idx="18">
                  <c:v>-3.3091168824543127</c:v>
                </c:pt>
                <c:pt idx="19">
                  <c:v>-3.2707344870351078</c:v>
                </c:pt>
                <c:pt idx="20">
                  <c:v>-3.232352091615903</c:v>
                </c:pt>
                <c:pt idx="21">
                  <c:v>-3.1939696961966981</c:v>
                </c:pt>
                <c:pt idx="22">
                  <c:v>-3.1555873007774933</c:v>
                </c:pt>
                <c:pt idx="23">
                  <c:v>-3.1172049053582884</c:v>
                </c:pt>
                <c:pt idx="24">
                  <c:v>-3.0788225099390836</c:v>
                </c:pt>
                <c:pt idx="25">
                  <c:v>-3.0404401145198787</c:v>
                </c:pt>
                <c:pt idx="26">
                  <c:v>-3.0020577191006739</c:v>
                </c:pt>
                <c:pt idx="27">
                  <c:v>-2.963675323681469</c:v>
                </c:pt>
                <c:pt idx="28">
                  <c:v>-2.9252929282622642</c:v>
                </c:pt>
                <c:pt idx="29">
                  <c:v>-2.8869105328430593</c:v>
                </c:pt>
                <c:pt idx="30">
                  <c:v>-2.8485281374238545</c:v>
                </c:pt>
                <c:pt idx="31">
                  <c:v>-2.8101457420046496</c:v>
                </c:pt>
                <c:pt idx="32">
                  <c:v>-2.7717633465854448</c:v>
                </c:pt>
                <c:pt idx="33">
                  <c:v>-2.7333809511662399</c:v>
                </c:pt>
                <c:pt idx="34">
                  <c:v>-2.6949985557470351</c:v>
                </c:pt>
                <c:pt idx="35">
                  <c:v>-2.6566161603278302</c:v>
                </c:pt>
                <c:pt idx="36">
                  <c:v>-2.6182337649086254</c:v>
                </c:pt>
                <c:pt idx="37">
                  <c:v>-2.5798513694894205</c:v>
                </c:pt>
                <c:pt idx="38">
                  <c:v>-2.5414689740702157</c:v>
                </c:pt>
                <c:pt idx="39">
                  <c:v>-2.5030865786510108</c:v>
                </c:pt>
                <c:pt idx="40">
                  <c:v>-2.464704183231806</c:v>
                </c:pt>
                <c:pt idx="41">
                  <c:v>-2.4263217878126011</c:v>
                </c:pt>
                <c:pt idx="42">
                  <c:v>-2.3879393923933963</c:v>
                </c:pt>
                <c:pt idx="43">
                  <c:v>-2.3495569969741914</c:v>
                </c:pt>
                <c:pt idx="44">
                  <c:v>-2.3111746015549866</c:v>
                </c:pt>
                <c:pt idx="45">
                  <c:v>-2.2727922061357817</c:v>
                </c:pt>
                <c:pt idx="46">
                  <c:v>-2.2344098107165768</c:v>
                </c:pt>
                <c:pt idx="47">
                  <c:v>-2.196027415297372</c:v>
                </c:pt>
                <c:pt idx="48">
                  <c:v>-2.1576450198781671</c:v>
                </c:pt>
                <c:pt idx="49">
                  <c:v>-2.1192626244589623</c:v>
                </c:pt>
                <c:pt idx="50">
                  <c:v>-2.0808802290397574</c:v>
                </c:pt>
                <c:pt idx="51">
                  <c:v>-2.0424978336205526</c:v>
                </c:pt>
                <c:pt idx="52">
                  <c:v>-2.0041154382013477</c:v>
                </c:pt>
                <c:pt idx="53">
                  <c:v>-1.9657330427821429</c:v>
                </c:pt>
                <c:pt idx="54">
                  <c:v>-1.927350647362938</c:v>
                </c:pt>
                <c:pt idx="55">
                  <c:v>-1.8889682519437332</c:v>
                </c:pt>
                <c:pt idx="56">
                  <c:v>-1.8505858565245283</c:v>
                </c:pt>
                <c:pt idx="57">
                  <c:v>-1.8122034611053235</c:v>
                </c:pt>
                <c:pt idx="58">
                  <c:v>-1.7738210656861186</c:v>
                </c:pt>
                <c:pt idx="59">
                  <c:v>-1.7354386702669138</c:v>
                </c:pt>
                <c:pt idx="60">
                  <c:v>-1.6970562748477089</c:v>
                </c:pt>
              </c:numCache>
            </c:numRef>
          </c:xVal>
          <c:yVal>
            <c:numRef>
              <c:f>'Mean Large'!$S$5:$S$65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1.5592342202908082E-4</c:v>
                </c:pt>
                <c:pt idx="2">
                  <c:v>1.8139641446053741E-4</c:v>
                </c:pt>
                <c:pt idx="3">
                  <c:v>2.1072023064234636E-4</c:v>
                </c:pt>
                <c:pt idx="4">
                  <c:v>2.4442406430627979E-4</c:v>
                </c:pt>
                <c:pt idx="5">
                  <c:v>2.8310131289327722E-4</c:v>
                </c:pt>
                <c:pt idx="6">
                  <c:v>3.2741607602192814E-4</c:v>
                </c:pt>
                <c:pt idx="7">
                  <c:v>3.7811012670722471E-4</c:v>
                </c:pt>
                <c:pt idx="8">
                  <c:v>4.3601036381064911E-4</c:v>
                </c:pt>
                <c:pt idx="9">
                  <c:v>5.0203675020269237E-4</c:v>
                </c:pt>
                <c:pt idx="10">
                  <c:v>5.7721073643674686E-4</c:v>
                </c:pt>
                <c:pt idx="11">
                  <c:v>6.6266416432952079E-4</c:v>
                </c:pt>
                <c:pt idx="12">
                  <c:v>7.5964863868357372E-4</c:v>
                </c:pt>
                <c:pt idx="13">
                  <c:v>8.6954534844478778E-4</c:v>
                </c:pt>
                <c:pt idx="14">
                  <c:v>9.938753108424442E-4</c:v>
                </c:pt>
                <c:pt idx="15">
                  <c:v>1.1343100035025341E-3</c:v>
                </c:pt>
                <c:pt idx="16">
                  <c:v>1.2926823401580361E-3</c:v>
                </c:pt>
                <c:pt idx="17">
                  <c:v>1.4709979354180908E-3</c:v>
                </c:pt>
                <c:pt idx="18">
                  <c:v>1.6714465931309866E-3</c:v>
                </c:pt>
                <c:pt idx="19">
                  <c:v>1.8964139412295784E-3</c:v>
                </c:pt>
                <c:pt idx="20">
                  <c:v>2.1484931236458726E-3</c:v>
                </c:pt>
                <c:pt idx="21">
                  <c:v>2.4304964470069851E-3</c:v>
                </c:pt>
                <c:pt idx="22">
                  <c:v>2.7454668664807125E-3</c:v>
                </c:pt>
                <c:pt idx="23">
                  <c:v>3.0966891814504095E-3</c:v>
                </c:pt>
                <c:pt idx="24">
                  <c:v>3.4877007978123212E-3</c:v>
                </c:pt>
                <c:pt idx="25">
                  <c:v>3.9223018997738774E-3</c:v>
                </c:pt>
                <c:pt idx="26">
                  <c:v>4.4045648602803094E-3</c:v>
                </c:pt>
                <c:pt idx="27">
                  <c:v>4.9388427058241844E-3</c:v>
                </c:pt>
                <c:pt idx="28">
                  <c:v>5.5297764386336417E-3</c:v>
                </c:pt>
                <c:pt idx="29">
                  <c:v>6.1823010073466106E-3</c:v>
                </c:pt>
                <c:pt idx="30">
                  <c:v>6.9016497065341638E-3</c:v>
                </c:pt>
                <c:pt idx="31">
                  <c:v>7.6933567761269788E-3</c:v>
                </c:pt>
                <c:pt idx="32">
                  <c:v>8.5632579642274873E-3</c:v>
                </c:pt>
                <c:pt idx="33">
                  <c:v>9.5174888112689818E-3</c:v>
                </c:pt>
                <c:pt idx="34">
                  <c:v>1.0562480410328975E-2</c:v>
                </c:pt>
                <c:pt idx="35">
                  <c:v>1.1704952397934735E-2</c:v>
                </c:pt>
                <c:pt idx="36">
                  <c:v>1.2951902932225744E-2</c:v>
                </c:pt>
                <c:pt idx="37">
                  <c:v>1.4310595421162493E-2</c:v>
                </c:pt>
                <c:pt idx="38">
                  <c:v>1.5788541772875114E-2</c:v>
                </c:pt>
                <c:pt idx="39">
                  <c:v>1.739348195348921E-2</c:v>
                </c:pt>
                <c:pt idx="40">
                  <c:v>1.9133359655075646E-2</c:v>
                </c:pt>
                <c:pt idx="41">
                  <c:v>2.1016293897935485E-2</c:v>
                </c:pt>
                <c:pt idx="42">
                  <c:v>2.3050546417392567E-2</c:v>
                </c:pt>
                <c:pt idx="43">
                  <c:v>2.5244484715714367E-2</c:v>
                </c:pt>
                <c:pt idx="44">
                  <c:v>2.7606540694745035E-2</c:v>
                </c:pt>
                <c:pt idx="45">
                  <c:v>3.0145164824276708E-2</c:v>
                </c:pt>
                <c:pt idx="46">
                  <c:v>3.2868775844994327E-2</c:v>
                </c:pt>
                <c:pt idx="47">
                  <c:v>3.578570605281909E-2</c:v>
                </c:pt>
                <c:pt idx="48">
                  <c:v>3.8904142263374464E-2</c:v>
                </c:pt>
                <c:pt idx="49">
                  <c:v>4.2232062610751922E-2</c:v>
                </c:pt>
                <c:pt idx="50">
                  <c:v>4.5777169393317281E-2</c:v>
                </c:pt>
                <c:pt idx="51">
                  <c:v>4.9546818240443706E-2</c:v>
                </c:pt>
                <c:pt idx="52">
                  <c:v>5.3547943937164839E-2</c:v>
                </c:pt>
                <c:pt idx="53">
                  <c:v>5.7786983308112147E-2</c:v>
                </c:pt>
                <c:pt idx="54">
                  <c:v>6.2269795626953332E-2</c:v>
                </c:pt>
                <c:pt idx="55">
                  <c:v>6.7001581082029804E-2</c:v>
                </c:pt>
                <c:pt idx="56">
                  <c:v>7.1986797892085508E-2</c:v>
                </c:pt>
                <c:pt idx="57">
                  <c:v>7.7229078726912356E-2</c:v>
                </c:pt>
                <c:pt idx="58">
                  <c:v>8.2731147145397199E-2</c:v>
                </c:pt>
                <c:pt idx="59">
                  <c:v>8.8494734816798065E-2</c:v>
                </c:pt>
                <c:pt idx="60">
                  <c:v>9.4520500339046826E-2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5-3148-BCB3-7659D9E84D39}"/>
            </c:ext>
          </c:extLst>
        </c:ser>
        <c:ser>
          <c:idx val="2"/>
          <c:order val="1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'Mean Large'!$U$5:$U$65</c:f>
              <c:numCache>
                <c:formatCode>0.000</c:formatCode>
                <c:ptCount val="61"/>
                <c:pt idx="0">
                  <c:v>4</c:v>
                </c:pt>
                <c:pt idx="1">
                  <c:v>3.9616176045807951</c:v>
                </c:pt>
                <c:pt idx="2">
                  <c:v>3.9232352091615903</c:v>
                </c:pt>
                <c:pt idx="3">
                  <c:v>3.8848528137423854</c:v>
                </c:pt>
                <c:pt idx="4">
                  <c:v>3.8464704183231806</c:v>
                </c:pt>
                <c:pt idx="5">
                  <c:v>3.8080880229039757</c:v>
                </c:pt>
                <c:pt idx="6">
                  <c:v>3.7697056274847709</c:v>
                </c:pt>
                <c:pt idx="7">
                  <c:v>3.731323232065566</c:v>
                </c:pt>
                <c:pt idx="8">
                  <c:v>3.6929408366463612</c:v>
                </c:pt>
                <c:pt idx="9">
                  <c:v>3.6545584412271563</c:v>
                </c:pt>
                <c:pt idx="10">
                  <c:v>3.6161760458079515</c:v>
                </c:pt>
                <c:pt idx="11">
                  <c:v>3.5777936503887466</c:v>
                </c:pt>
                <c:pt idx="12">
                  <c:v>3.5394112549695418</c:v>
                </c:pt>
                <c:pt idx="13">
                  <c:v>3.5010288595503369</c:v>
                </c:pt>
                <c:pt idx="14">
                  <c:v>3.4626464641311321</c:v>
                </c:pt>
                <c:pt idx="15">
                  <c:v>3.4242640687119272</c:v>
                </c:pt>
                <c:pt idx="16">
                  <c:v>3.3858816732927224</c:v>
                </c:pt>
                <c:pt idx="17">
                  <c:v>3.3474992778735175</c:v>
                </c:pt>
                <c:pt idx="18">
                  <c:v>3.3091168824543127</c:v>
                </c:pt>
                <c:pt idx="19">
                  <c:v>3.2707344870351078</c:v>
                </c:pt>
                <c:pt idx="20">
                  <c:v>3.232352091615903</c:v>
                </c:pt>
                <c:pt idx="21">
                  <c:v>3.1939696961966981</c:v>
                </c:pt>
                <c:pt idx="22">
                  <c:v>3.1555873007774933</c:v>
                </c:pt>
                <c:pt idx="23">
                  <c:v>3.1172049053582884</c:v>
                </c:pt>
                <c:pt idx="24">
                  <c:v>3.0788225099390836</c:v>
                </c:pt>
                <c:pt idx="25">
                  <c:v>3.0404401145198787</c:v>
                </c:pt>
                <c:pt idx="26">
                  <c:v>3.0020577191006739</c:v>
                </c:pt>
                <c:pt idx="27">
                  <c:v>2.963675323681469</c:v>
                </c:pt>
                <c:pt idx="28">
                  <c:v>2.9252929282622642</c:v>
                </c:pt>
                <c:pt idx="29">
                  <c:v>2.8869105328430593</c:v>
                </c:pt>
                <c:pt idx="30">
                  <c:v>2.8485281374238545</c:v>
                </c:pt>
                <c:pt idx="31">
                  <c:v>2.8101457420046496</c:v>
                </c:pt>
                <c:pt idx="32">
                  <c:v>2.7717633465854448</c:v>
                </c:pt>
                <c:pt idx="33">
                  <c:v>2.7333809511662399</c:v>
                </c:pt>
                <c:pt idx="34">
                  <c:v>2.6949985557470351</c:v>
                </c:pt>
                <c:pt idx="35">
                  <c:v>2.6566161603278302</c:v>
                </c:pt>
                <c:pt idx="36">
                  <c:v>2.6182337649086254</c:v>
                </c:pt>
                <c:pt idx="37">
                  <c:v>2.5798513694894205</c:v>
                </c:pt>
                <c:pt idx="38">
                  <c:v>2.5414689740702157</c:v>
                </c:pt>
                <c:pt idx="39">
                  <c:v>2.5030865786510108</c:v>
                </c:pt>
                <c:pt idx="40">
                  <c:v>2.464704183231806</c:v>
                </c:pt>
                <c:pt idx="41">
                  <c:v>2.4263217878126011</c:v>
                </c:pt>
                <c:pt idx="42">
                  <c:v>2.3879393923933963</c:v>
                </c:pt>
                <c:pt idx="43">
                  <c:v>2.3495569969741914</c:v>
                </c:pt>
                <c:pt idx="44">
                  <c:v>2.3111746015549866</c:v>
                </c:pt>
                <c:pt idx="45">
                  <c:v>2.2727922061357817</c:v>
                </c:pt>
                <c:pt idx="46">
                  <c:v>2.2344098107165768</c:v>
                </c:pt>
                <c:pt idx="47">
                  <c:v>2.196027415297372</c:v>
                </c:pt>
                <c:pt idx="48">
                  <c:v>2.1576450198781671</c:v>
                </c:pt>
                <c:pt idx="49">
                  <c:v>2.1192626244589623</c:v>
                </c:pt>
                <c:pt idx="50">
                  <c:v>2.0808802290397574</c:v>
                </c:pt>
                <c:pt idx="51">
                  <c:v>2.0424978336205526</c:v>
                </c:pt>
                <c:pt idx="52">
                  <c:v>2.0041154382013477</c:v>
                </c:pt>
                <c:pt idx="53">
                  <c:v>1.9657330427821429</c:v>
                </c:pt>
                <c:pt idx="54">
                  <c:v>1.927350647362938</c:v>
                </c:pt>
                <c:pt idx="55">
                  <c:v>1.8889682519437332</c:v>
                </c:pt>
                <c:pt idx="56">
                  <c:v>1.8505858565245283</c:v>
                </c:pt>
                <c:pt idx="57">
                  <c:v>1.8122034611053235</c:v>
                </c:pt>
                <c:pt idx="58">
                  <c:v>1.7738210656861186</c:v>
                </c:pt>
                <c:pt idx="59">
                  <c:v>1.7354386702669138</c:v>
                </c:pt>
                <c:pt idx="60">
                  <c:v>1.6970562748477089</c:v>
                </c:pt>
              </c:numCache>
            </c:numRef>
          </c:xVal>
          <c:yVal>
            <c:numRef>
              <c:f>'Mean Large'!$V$5:$V$65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1.5592342202908082E-4</c:v>
                </c:pt>
                <c:pt idx="2">
                  <c:v>1.8139641446053741E-4</c:v>
                </c:pt>
                <c:pt idx="3">
                  <c:v>2.1072023064234636E-4</c:v>
                </c:pt>
                <c:pt idx="4">
                  <c:v>2.4442406430627979E-4</c:v>
                </c:pt>
                <c:pt idx="5">
                  <c:v>2.8310131289327722E-4</c:v>
                </c:pt>
                <c:pt idx="6">
                  <c:v>3.2741607602192814E-4</c:v>
                </c:pt>
                <c:pt idx="7">
                  <c:v>3.7811012670722471E-4</c:v>
                </c:pt>
                <c:pt idx="8">
                  <c:v>4.3601036381064911E-4</c:v>
                </c:pt>
                <c:pt idx="9">
                  <c:v>5.0203675020269237E-4</c:v>
                </c:pt>
                <c:pt idx="10">
                  <c:v>5.7721073643674686E-4</c:v>
                </c:pt>
                <c:pt idx="11">
                  <c:v>6.6266416432952079E-4</c:v>
                </c:pt>
                <c:pt idx="12">
                  <c:v>7.5964863868357372E-4</c:v>
                </c:pt>
                <c:pt idx="13">
                  <c:v>8.6954534844478778E-4</c:v>
                </c:pt>
                <c:pt idx="14">
                  <c:v>9.938753108424442E-4</c:v>
                </c:pt>
                <c:pt idx="15">
                  <c:v>1.1343100035025341E-3</c:v>
                </c:pt>
                <c:pt idx="16">
                  <c:v>1.2926823401580361E-3</c:v>
                </c:pt>
                <c:pt idx="17">
                  <c:v>1.4709979354180908E-3</c:v>
                </c:pt>
                <c:pt idx="18">
                  <c:v>1.6714465931309866E-3</c:v>
                </c:pt>
                <c:pt idx="19">
                  <c:v>1.8964139412295784E-3</c:v>
                </c:pt>
                <c:pt idx="20">
                  <c:v>2.1484931236458726E-3</c:v>
                </c:pt>
                <c:pt idx="21">
                  <c:v>2.4304964470069851E-3</c:v>
                </c:pt>
                <c:pt idx="22">
                  <c:v>2.7454668664807125E-3</c:v>
                </c:pt>
                <c:pt idx="23">
                  <c:v>3.0966891814504095E-3</c:v>
                </c:pt>
                <c:pt idx="24">
                  <c:v>3.4877007978123212E-3</c:v>
                </c:pt>
                <c:pt idx="25">
                  <c:v>3.9223018997738774E-3</c:v>
                </c:pt>
                <c:pt idx="26">
                  <c:v>4.4045648602803094E-3</c:v>
                </c:pt>
                <c:pt idx="27">
                  <c:v>4.9388427058241844E-3</c:v>
                </c:pt>
                <c:pt idx="28">
                  <c:v>5.5297764386336417E-3</c:v>
                </c:pt>
                <c:pt idx="29">
                  <c:v>6.1823010073466106E-3</c:v>
                </c:pt>
                <c:pt idx="30">
                  <c:v>6.9016497065341638E-3</c:v>
                </c:pt>
                <c:pt idx="31">
                  <c:v>7.6933567761269788E-3</c:v>
                </c:pt>
                <c:pt idx="32">
                  <c:v>8.5632579642274873E-3</c:v>
                </c:pt>
                <c:pt idx="33">
                  <c:v>9.5174888112689818E-3</c:v>
                </c:pt>
                <c:pt idx="34">
                  <c:v>1.0562480410328975E-2</c:v>
                </c:pt>
                <c:pt idx="35">
                  <c:v>1.1704952397934735E-2</c:v>
                </c:pt>
                <c:pt idx="36">
                  <c:v>1.2951902932225744E-2</c:v>
                </c:pt>
                <c:pt idx="37">
                  <c:v>1.4310595421162493E-2</c:v>
                </c:pt>
                <c:pt idx="38">
                  <c:v>1.5788541772875114E-2</c:v>
                </c:pt>
                <c:pt idx="39">
                  <c:v>1.739348195348921E-2</c:v>
                </c:pt>
                <c:pt idx="40">
                  <c:v>1.9133359655075646E-2</c:v>
                </c:pt>
                <c:pt idx="41">
                  <c:v>2.1016293897935485E-2</c:v>
                </c:pt>
                <c:pt idx="42">
                  <c:v>2.3050546417392567E-2</c:v>
                </c:pt>
                <c:pt idx="43">
                  <c:v>2.5244484715714367E-2</c:v>
                </c:pt>
                <c:pt idx="44">
                  <c:v>2.7606540694745035E-2</c:v>
                </c:pt>
                <c:pt idx="45">
                  <c:v>3.0145164824276708E-2</c:v>
                </c:pt>
                <c:pt idx="46">
                  <c:v>3.2868775844994327E-2</c:v>
                </c:pt>
                <c:pt idx="47">
                  <c:v>3.578570605281909E-2</c:v>
                </c:pt>
                <c:pt idx="48">
                  <c:v>3.8904142263374464E-2</c:v>
                </c:pt>
                <c:pt idx="49">
                  <c:v>4.2232062610751922E-2</c:v>
                </c:pt>
                <c:pt idx="50">
                  <c:v>4.5777169393317281E-2</c:v>
                </c:pt>
                <c:pt idx="51">
                  <c:v>4.9546818240443706E-2</c:v>
                </c:pt>
                <c:pt idx="52">
                  <c:v>5.3547943937164839E-2</c:v>
                </c:pt>
                <c:pt idx="53">
                  <c:v>5.7786983308112147E-2</c:v>
                </c:pt>
                <c:pt idx="54">
                  <c:v>6.2269795626953332E-2</c:v>
                </c:pt>
                <c:pt idx="55">
                  <c:v>6.7001581082029804E-2</c:v>
                </c:pt>
                <c:pt idx="56">
                  <c:v>7.1986797892085508E-2</c:v>
                </c:pt>
                <c:pt idx="57">
                  <c:v>7.7229078726912356E-2</c:v>
                </c:pt>
                <c:pt idx="58">
                  <c:v>8.2731147145397199E-2</c:v>
                </c:pt>
                <c:pt idx="59">
                  <c:v>8.8494734816798065E-2</c:v>
                </c:pt>
                <c:pt idx="60">
                  <c:v>9.4520500339046826E-2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5-3148-BCB3-7659D9E84D39}"/>
            </c:ext>
          </c:extLst>
        </c:ser>
        <c:ser>
          <c:idx val="0"/>
          <c:order val="2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'Mean Large'!$M$5:$M$65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'Mean Large'!$N$5:$N$65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15-3148-BCB3-7659D9E8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83536"/>
        <c:axId val="658286800"/>
      </c:scatterChart>
      <c:valAx>
        <c:axId val="658283536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8286800"/>
        <c:crosses val="autoZero"/>
        <c:crossBetween val="midCat"/>
        <c:majorUnit val="1"/>
      </c:valAx>
      <c:valAx>
        <c:axId val="6582868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8283536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 for One-Tailed Lower</a:t>
            </a:r>
          </a:p>
        </c:rich>
      </c:tx>
      <c:layout>
        <c:manualLayout>
          <c:xMode val="edge"/>
          <c:yMode val="edge"/>
          <c:x val="0.25724580933735403"/>
          <c:y val="4.5801526717557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185905680507E-2"/>
          <c:y val="0.25190910115929799"/>
          <c:w val="0.83695504105270402"/>
          <c:h val="0.51145181144463603"/>
        </c:manualLayout>
      </c:layout>
      <c:scatterChart>
        <c:scatterStyle val="smoothMarker"/>
        <c:varyColors val="0"/>
        <c:ser>
          <c:idx val="1"/>
          <c:order val="0"/>
          <c:tx>
            <c:v>Left Tail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'Mean Large'!$R$5:$R$65</c:f>
              <c:numCache>
                <c:formatCode>0.000</c:formatCode>
                <c:ptCount val="61"/>
                <c:pt idx="0">
                  <c:v>-4</c:v>
                </c:pt>
                <c:pt idx="1">
                  <c:v>-3.9616176045807951</c:v>
                </c:pt>
                <c:pt idx="2">
                  <c:v>-3.9232352091615903</c:v>
                </c:pt>
                <c:pt idx="3">
                  <c:v>-3.8848528137423854</c:v>
                </c:pt>
                <c:pt idx="4">
                  <c:v>-3.8464704183231806</c:v>
                </c:pt>
                <c:pt idx="5">
                  <c:v>-3.8080880229039757</c:v>
                </c:pt>
                <c:pt idx="6">
                  <c:v>-3.7697056274847709</c:v>
                </c:pt>
                <c:pt idx="7">
                  <c:v>-3.731323232065566</c:v>
                </c:pt>
                <c:pt idx="8">
                  <c:v>-3.6929408366463612</c:v>
                </c:pt>
                <c:pt idx="9">
                  <c:v>-3.6545584412271563</c:v>
                </c:pt>
                <c:pt idx="10">
                  <c:v>-3.6161760458079515</c:v>
                </c:pt>
                <c:pt idx="11">
                  <c:v>-3.5777936503887466</c:v>
                </c:pt>
                <c:pt idx="12">
                  <c:v>-3.5394112549695418</c:v>
                </c:pt>
                <c:pt idx="13">
                  <c:v>-3.5010288595503369</c:v>
                </c:pt>
                <c:pt idx="14">
                  <c:v>-3.4626464641311321</c:v>
                </c:pt>
                <c:pt idx="15">
                  <c:v>-3.4242640687119272</c:v>
                </c:pt>
                <c:pt idx="16">
                  <c:v>-3.3858816732927224</c:v>
                </c:pt>
                <c:pt idx="17">
                  <c:v>-3.3474992778735175</c:v>
                </c:pt>
                <c:pt idx="18">
                  <c:v>-3.3091168824543127</c:v>
                </c:pt>
                <c:pt idx="19">
                  <c:v>-3.2707344870351078</c:v>
                </c:pt>
                <c:pt idx="20">
                  <c:v>-3.232352091615903</c:v>
                </c:pt>
                <c:pt idx="21">
                  <c:v>-3.1939696961966981</c:v>
                </c:pt>
                <c:pt idx="22">
                  <c:v>-3.1555873007774933</c:v>
                </c:pt>
                <c:pt idx="23">
                  <c:v>-3.1172049053582884</c:v>
                </c:pt>
                <c:pt idx="24">
                  <c:v>-3.0788225099390836</c:v>
                </c:pt>
                <c:pt idx="25">
                  <c:v>-3.0404401145198787</c:v>
                </c:pt>
                <c:pt idx="26">
                  <c:v>-3.0020577191006739</c:v>
                </c:pt>
                <c:pt idx="27">
                  <c:v>-2.963675323681469</c:v>
                </c:pt>
                <c:pt idx="28">
                  <c:v>-2.9252929282622642</c:v>
                </c:pt>
                <c:pt idx="29">
                  <c:v>-2.8869105328430593</c:v>
                </c:pt>
                <c:pt idx="30">
                  <c:v>-2.8485281374238545</c:v>
                </c:pt>
                <c:pt idx="31">
                  <c:v>-2.8101457420046496</c:v>
                </c:pt>
                <c:pt idx="32">
                  <c:v>-2.7717633465854448</c:v>
                </c:pt>
                <c:pt idx="33">
                  <c:v>-2.7333809511662399</c:v>
                </c:pt>
                <c:pt idx="34">
                  <c:v>-2.6949985557470351</c:v>
                </c:pt>
                <c:pt idx="35">
                  <c:v>-2.6566161603278302</c:v>
                </c:pt>
                <c:pt idx="36">
                  <c:v>-2.6182337649086254</c:v>
                </c:pt>
                <c:pt idx="37">
                  <c:v>-2.5798513694894205</c:v>
                </c:pt>
                <c:pt idx="38">
                  <c:v>-2.5414689740702157</c:v>
                </c:pt>
                <c:pt idx="39">
                  <c:v>-2.5030865786510108</c:v>
                </c:pt>
                <c:pt idx="40">
                  <c:v>-2.464704183231806</c:v>
                </c:pt>
                <c:pt idx="41">
                  <c:v>-2.4263217878126011</c:v>
                </c:pt>
                <c:pt idx="42">
                  <c:v>-2.3879393923933963</c:v>
                </c:pt>
                <c:pt idx="43">
                  <c:v>-2.3495569969741914</c:v>
                </c:pt>
                <c:pt idx="44">
                  <c:v>-2.3111746015549866</c:v>
                </c:pt>
                <c:pt idx="45">
                  <c:v>-2.2727922061357817</c:v>
                </c:pt>
                <c:pt idx="46">
                  <c:v>-2.2344098107165768</c:v>
                </c:pt>
                <c:pt idx="47">
                  <c:v>-2.196027415297372</c:v>
                </c:pt>
                <c:pt idx="48">
                  <c:v>-2.1576450198781671</c:v>
                </c:pt>
                <c:pt idx="49">
                  <c:v>-2.1192626244589623</c:v>
                </c:pt>
                <c:pt idx="50">
                  <c:v>-2.0808802290397574</c:v>
                </c:pt>
                <c:pt idx="51">
                  <c:v>-2.0424978336205526</c:v>
                </c:pt>
                <c:pt idx="52">
                  <c:v>-2.0041154382013477</c:v>
                </c:pt>
                <c:pt idx="53">
                  <c:v>-1.9657330427821429</c:v>
                </c:pt>
                <c:pt idx="54">
                  <c:v>-1.927350647362938</c:v>
                </c:pt>
                <c:pt idx="55">
                  <c:v>-1.8889682519437332</c:v>
                </c:pt>
                <c:pt idx="56">
                  <c:v>-1.8505858565245283</c:v>
                </c:pt>
                <c:pt idx="57">
                  <c:v>-1.8122034611053235</c:v>
                </c:pt>
                <c:pt idx="58">
                  <c:v>-1.7738210656861186</c:v>
                </c:pt>
                <c:pt idx="59">
                  <c:v>-1.7354386702669138</c:v>
                </c:pt>
                <c:pt idx="60">
                  <c:v>-1.6970562748477089</c:v>
                </c:pt>
              </c:numCache>
            </c:numRef>
          </c:xVal>
          <c:yVal>
            <c:numRef>
              <c:f>'Mean Large'!$S$5:$S$65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1.5592342202908082E-4</c:v>
                </c:pt>
                <c:pt idx="2">
                  <c:v>1.8139641446053741E-4</c:v>
                </c:pt>
                <c:pt idx="3">
                  <c:v>2.1072023064234636E-4</c:v>
                </c:pt>
                <c:pt idx="4">
                  <c:v>2.4442406430627979E-4</c:v>
                </c:pt>
                <c:pt idx="5">
                  <c:v>2.8310131289327722E-4</c:v>
                </c:pt>
                <c:pt idx="6">
                  <c:v>3.2741607602192814E-4</c:v>
                </c:pt>
                <c:pt idx="7">
                  <c:v>3.7811012670722471E-4</c:v>
                </c:pt>
                <c:pt idx="8">
                  <c:v>4.3601036381064911E-4</c:v>
                </c:pt>
                <c:pt idx="9">
                  <c:v>5.0203675020269237E-4</c:v>
                </c:pt>
                <c:pt idx="10">
                  <c:v>5.7721073643674686E-4</c:v>
                </c:pt>
                <c:pt idx="11">
                  <c:v>6.6266416432952079E-4</c:v>
                </c:pt>
                <c:pt idx="12">
                  <c:v>7.5964863868357372E-4</c:v>
                </c:pt>
                <c:pt idx="13">
                  <c:v>8.6954534844478778E-4</c:v>
                </c:pt>
                <c:pt idx="14">
                  <c:v>9.938753108424442E-4</c:v>
                </c:pt>
                <c:pt idx="15">
                  <c:v>1.1343100035025341E-3</c:v>
                </c:pt>
                <c:pt idx="16">
                  <c:v>1.2926823401580361E-3</c:v>
                </c:pt>
                <c:pt idx="17">
                  <c:v>1.4709979354180908E-3</c:v>
                </c:pt>
                <c:pt idx="18">
                  <c:v>1.6714465931309866E-3</c:v>
                </c:pt>
                <c:pt idx="19">
                  <c:v>1.8964139412295784E-3</c:v>
                </c:pt>
                <c:pt idx="20">
                  <c:v>2.1484931236458726E-3</c:v>
                </c:pt>
                <c:pt idx="21">
                  <c:v>2.4304964470069851E-3</c:v>
                </c:pt>
                <c:pt idx="22">
                  <c:v>2.7454668664807125E-3</c:v>
                </c:pt>
                <c:pt idx="23">
                  <c:v>3.0966891814504095E-3</c:v>
                </c:pt>
                <c:pt idx="24">
                  <c:v>3.4877007978123212E-3</c:v>
                </c:pt>
                <c:pt idx="25">
                  <c:v>3.9223018997738774E-3</c:v>
                </c:pt>
                <c:pt idx="26">
                  <c:v>4.4045648602803094E-3</c:v>
                </c:pt>
                <c:pt idx="27">
                  <c:v>4.9388427058241844E-3</c:v>
                </c:pt>
                <c:pt idx="28">
                  <c:v>5.5297764386336417E-3</c:v>
                </c:pt>
                <c:pt idx="29">
                  <c:v>6.1823010073466106E-3</c:v>
                </c:pt>
                <c:pt idx="30">
                  <c:v>6.9016497065341638E-3</c:v>
                </c:pt>
                <c:pt idx="31">
                  <c:v>7.6933567761269788E-3</c:v>
                </c:pt>
                <c:pt idx="32">
                  <c:v>8.5632579642274873E-3</c:v>
                </c:pt>
                <c:pt idx="33">
                  <c:v>9.5174888112689818E-3</c:v>
                </c:pt>
                <c:pt idx="34">
                  <c:v>1.0562480410328975E-2</c:v>
                </c:pt>
                <c:pt idx="35">
                  <c:v>1.1704952397934735E-2</c:v>
                </c:pt>
                <c:pt idx="36">
                  <c:v>1.2951902932225744E-2</c:v>
                </c:pt>
                <c:pt idx="37">
                  <c:v>1.4310595421162493E-2</c:v>
                </c:pt>
                <c:pt idx="38">
                  <c:v>1.5788541772875114E-2</c:v>
                </c:pt>
                <c:pt idx="39">
                  <c:v>1.739348195348921E-2</c:v>
                </c:pt>
                <c:pt idx="40">
                  <c:v>1.9133359655075646E-2</c:v>
                </c:pt>
                <c:pt idx="41">
                  <c:v>2.1016293897935485E-2</c:v>
                </c:pt>
                <c:pt idx="42">
                  <c:v>2.3050546417392567E-2</c:v>
                </c:pt>
                <c:pt idx="43">
                  <c:v>2.5244484715714367E-2</c:v>
                </c:pt>
                <c:pt idx="44">
                  <c:v>2.7606540694745035E-2</c:v>
                </c:pt>
                <c:pt idx="45">
                  <c:v>3.0145164824276708E-2</c:v>
                </c:pt>
                <c:pt idx="46">
                  <c:v>3.2868775844994327E-2</c:v>
                </c:pt>
                <c:pt idx="47">
                  <c:v>3.578570605281909E-2</c:v>
                </c:pt>
                <c:pt idx="48">
                  <c:v>3.8904142263374464E-2</c:v>
                </c:pt>
                <c:pt idx="49">
                  <c:v>4.2232062610751922E-2</c:v>
                </c:pt>
                <c:pt idx="50">
                  <c:v>4.5777169393317281E-2</c:v>
                </c:pt>
                <c:pt idx="51">
                  <c:v>4.9546818240443706E-2</c:v>
                </c:pt>
                <c:pt idx="52">
                  <c:v>5.3547943937164839E-2</c:v>
                </c:pt>
                <c:pt idx="53">
                  <c:v>5.7786983308112147E-2</c:v>
                </c:pt>
                <c:pt idx="54">
                  <c:v>6.2269795626953332E-2</c:v>
                </c:pt>
                <c:pt idx="55">
                  <c:v>6.7001581082029804E-2</c:v>
                </c:pt>
                <c:pt idx="56">
                  <c:v>7.1986797892085508E-2</c:v>
                </c:pt>
                <c:pt idx="57">
                  <c:v>7.7229078726912356E-2</c:v>
                </c:pt>
                <c:pt idx="58">
                  <c:v>8.2731147145397199E-2</c:v>
                </c:pt>
                <c:pt idx="59">
                  <c:v>8.8494734816798065E-2</c:v>
                </c:pt>
                <c:pt idx="60">
                  <c:v>9.4520500339046826E-2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1-7746-BBA8-1BF8D330A427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'Mean Large'!$M$5:$M$65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'Mean Large'!$N$5:$N$65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1-7746-BBA8-1BF8D330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13808"/>
        <c:axId val="658316560"/>
      </c:scatterChart>
      <c:valAx>
        <c:axId val="658313808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8316560"/>
        <c:crosses val="autoZero"/>
        <c:crossBetween val="midCat"/>
        <c:majorUnit val="1"/>
      </c:valAx>
      <c:valAx>
        <c:axId val="6583165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8313808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p-Values for One-Tailed Upper</a:t>
            </a:r>
          </a:p>
        </c:rich>
      </c:tx>
      <c:layout>
        <c:manualLayout>
          <c:xMode val="edge"/>
          <c:yMode val="edge"/>
          <c:x val="0.24817518248175199"/>
          <c:y val="5.3030303030302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41643236432897E-2"/>
          <c:y val="0.24999907522832601"/>
          <c:w val="0.83576679570187595"/>
          <c:h val="0.51514960956139899"/>
        </c:manualLayout>
      </c:layout>
      <c:scatterChart>
        <c:scatterStyle val="smoothMarker"/>
        <c:varyColors val="0"/>
        <c:ser>
          <c:idx val="2"/>
          <c:order val="0"/>
          <c:tx>
            <c:v>Right Tail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'Mean Large'!$U$5:$U$65</c:f>
              <c:numCache>
                <c:formatCode>0.000</c:formatCode>
                <c:ptCount val="61"/>
                <c:pt idx="0">
                  <c:v>4</c:v>
                </c:pt>
                <c:pt idx="1">
                  <c:v>3.9616176045807951</c:v>
                </c:pt>
                <c:pt idx="2">
                  <c:v>3.9232352091615903</c:v>
                </c:pt>
                <c:pt idx="3">
                  <c:v>3.8848528137423854</c:v>
                </c:pt>
                <c:pt idx="4">
                  <c:v>3.8464704183231806</c:v>
                </c:pt>
                <c:pt idx="5">
                  <c:v>3.8080880229039757</c:v>
                </c:pt>
                <c:pt idx="6">
                  <c:v>3.7697056274847709</c:v>
                </c:pt>
                <c:pt idx="7">
                  <c:v>3.731323232065566</c:v>
                </c:pt>
                <c:pt idx="8">
                  <c:v>3.6929408366463612</c:v>
                </c:pt>
                <c:pt idx="9">
                  <c:v>3.6545584412271563</c:v>
                </c:pt>
                <c:pt idx="10">
                  <c:v>3.6161760458079515</c:v>
                </c:pt>
                <c:pt idx="11">
                  <c:v>3.5777936503887466</c:v>
                </c:pt>
                <c:pt idx="12">
                  <c:v>3.5394112549695418</c:v>
                </c:pt>
                <c:pt idx="13">
                  <c:v>3.5010288595503369</c:v>
                </c:pt>
                <c:pt idx="14">
                  <c:v>3.4626464641311321</c:v>
                </c:pt>
                <c:pt idx="15">
                  <c:v>3.4242640687119272</c:v>
                </c:pt>
                <c:pt idx="16">
                  <c:v>3.3858816732927224</c:v>
                </c:pt>
                <c:pt idx="17">
                  <c:v>3.3474992778735175</c:v>
                </c:pt>
                <c:pt idx="18">
                  <c:v>3.3091168824543127</c:v>
                </c:pt>
                <c:pt idx="19">
                  <c:v>3.2707344870351078</c:v>
                </c:pt>
                <c:pt idx="20">
                  <c:v>3.232352091615903</c:v>
                </c:pt>
                <c:pt idx="21">
                  <c:v>3.1939696961966981</c:v>
                </c:pt>
                <c:pt idx="22">
                  <c:v>3.1555873007774933</c:v>
                </c:pt>
                <c:pt idx="23">
                  <c:v>3.1172049053582884</c:v>
                </c:pt>
                <c:pt idx="24">
                  <c:v>3.0788225099390836</c:v>
                </c:pt>
                <c:pt idx="25">
                  <c:v>3.0404401145198787</c:v>
                </c:pt>
                <c:pt idx="26">
                  <c:v>3.0020577191006739</c:v>
                </c:pt>
                <c:pt idx="27">
                  <c:v>2.963675323681469</c:v>
                </c:pt>
                <c:pt idx="28">
                  <c:v>2.9252929282622642</c:v>
                </c:pt>
                <c:pt idx="29">
                  <c:v>2.8869105328430593</c:v>
                </c:pt>
                <c:pt idx="30">
                  <c:v>2.8485281374238545</c:v>
                </c:pt>
                <c:pt idx="31">
                  <c:v>2.8101457420046496</c:v>
                </c:pt>
                <c:pt idx="32">
                  <c:v>2.7717633465854448</c:v>
                </c:pt>
                <c:pt idx="33">
                  <c:v>2.7333809511662399</c:v>
                </c:pt>
                <c:pt idx="34">
                  <c:v>2.6949985557470351</c:v>
                </c:pt>
                <c:pt idx="35">
                  <c:v>2.6566161603278302</c:v>
                </c:pt>
                <c:pt idx="36">
                  <c:v>2.6182337649086254</c:v>
                </c:pt>
                <c:pt idx="37">
                  <c:v>2.5798513694894205</c:v>
                </c:pt>
                <c:pt idx="38">
                  <c:v>2.5414689740702157</c:v>
                </c:pt>
                <c:pt idx="39">
                  <c:v>2.5030865786510108</c:v>
                </c:pt>
                <c:pt idx="40">
                  <c:v>2.464704183231806</c:v>
                </c:pt>
                <c:pt idx="41">
                  <c:v>2.4263217878126011</c:v>
                </c:pt>
                <c:pt idx="42">
                  <c:v>2.3879393923933963</c:v>
                </c:pt>
                <c:pt idx="43">
                  <c:v>2.3495569969741914</c:v>
                </c:pt>
                <c:pt idx="44">
                  <c:v>2.3111746015549866</c:v>
                </c:pt>
                <c:pt idx="45">
                  <c:v>2.2727922061357817</c:v>
                </c:pt>
                <c:pt idx="46">
                  <c:v>2.2344098107165768</c:v>
                </c:pt>
                <c:pt idx="47">
                  <c:v>2.196027415297372</c:v>
                </c:pt>
                <c:pt idx="48">
                  <c:v>2.1576450198781671</c:v>
                </c:pt>
                <c:pt idx="49">
                  <c:v>2.1192626244589623</c:v>
                </c:pt>
                <c:pt idx="50">
                  <c:v>2.0808802290397574</c:v>
                </c:pt>
                <c:pt idx="51">
                  <c:v>2.0424978336205526</c:v>
                </c:pt>
                <c:pt idx="52">
                  <c:v>2.0041154382013477</c:v>
                </c:pt>
                <c:pt idx="53">
                  <c:v>1.9657330427821429</c:v>
                </c:pt>
                <c:pt idx="54">
                  <c:v>1.927350647362938</c:v>
                </c:pt>
                <c:pt idx="55">
                  <c:v>1.8889682519437332</c:v>
                </c:pt>
                <c:pt idx="56">
                  <c:v>1.8505858565245283</c:v>
                </c:pt>
                <c:pt idx="57">
                  <c:v>1.8122034611053235</c:v>
                </c:pt>
                <c:pt idx="58">
                  <c:v>1.7738210656861186</c:v>
                </c:pt>
                <c:pt idx="59">
                  <c:v>1.7354386702669138</c:v>
                </c:pt>
                <c:pt idx="60">
                  <c:v>1.6970562748477089</c:v>
                </c:pt>
              </c:numCache>
            </c:numRef>
          </c:xVal>
          <c:yVal>
            <c:numRef>
              <c:f>'Mean Large'!$V$5:$V$65</c:f>
              <c:numCache>
                <c:formatCode>0.000000</c:formatCode>
                <c:ptCount val="61"/>
                <c:pt idx="0">
                  <c:v>1.3383022576488537E-4</c:v>
                </c:pt>
                <c:pt idx="1">
                  <c:v>1.5592342202908082E-4</c:v>
                </c:pt>
                <c:pt idx="2">
                  <c:v>1.8139641446053741E-4</c:v>
                </c:pt>
                <c:pt idx="3">
                  <c:v>2.1072023064234636E-4</c:v>
                </c:pt>
                <c:pt idx="4">
                  <c:v>2.4442406430627979E-4</c:v>
                </c:pt>
                <c:pt idx="5">
                  <c:v>2.8310131289327722E-4</c:v>
                </c:pt>
                <c:pt idx="6">
                  <c:v>3.2741607602192814E-4</c:v>
                </c:pt>
                <c:pt idx="7">
                  <c:v>3.7811012670722471E-4</c:v>
                </c:pt>
                <c:pt idx="8">
                  <c:v>4.3601036381064911E-4</c:v>
                </c:pt>
                <c:pt idx="9">
                  <c:v>5.0203675020269237E-4</c:v>
                </c:pt>
                <c:pt idx="10">
                  <c:v>5.7721073643674686E-4</c:v>
                </c:pt>
                <c:pt idx="11">
                  <c:v>6.6266416432952079E-4</c:v>
                </c:pt>
                <c:pt idx="12">
                  <c:v>7.5964863868357372E-4</c:v>
                </c:pt>
                <c:pt idx="13">
                  <c:v>8.6954534844478778E-4</c:v>
                </c:pt>
                <c:pt idx="14">
                  <c:v>9.938753108424442E-4</c:v>
                </c:pt>
                <c:pt idx="15">
                  <c:v>1.1343100035025341E-3</c:v>
                </c:pt>
                <c:pt idx="16">
                  <c:v>1.2926823401580361E-3</c:v>
                </c:pt>
                <c:pt idx="17">
                  <c:v>1.4709979354180908E-3</c:v>
                </c:pt>
                <c:pt idx="18">
                  <c:v>1.6714465931309866E-3</c:v>
                </c:pt>
                <c:pt idx="19">
                  <c:v>1.8964139412295784E-3</c:v>
                </c:pt>
                <c:pt idx="20">
                  <c:v>2.1484931236458726E-3</c:v>
                </c:pt>
                <c:pt idx="21">
                  <c:v>2.4304964470069851E-3</c:v>
                </c:pt>
                <c:pt idx="22">
                  <c:v>2.7454668664807125E-3</c:v>
                </c:pt>
                <c:pt idx="23">
                  <c:v>3.0966891814504095E-3</c:v>
                </c:pt>
                <c:pt idx="24">
                  <c:v>3.4877007978123212E-3</c:v>
                </c:pt>
                <c:pt idx="25">
                  <c:v>3.9223018997738774E-3</c:v>
                </c:pt>
                <c:pt idx="26">
                  <c:v>4.4045648602803094E-3</c:v>
                </c:pt>
                <c:pt idx="27">
                  <c:v>4.9388427058241844E-3</c:v>
                </c:pt>
                <c:pt idx="28">
                  <c:v>5.5297764386336417E-3</c:v>
                </c:pt>
                <c:pt idx="29">
                  <c:v>6.1823010073466106E-3</c:v>
                </c:pt>
                <c:pt idx="30">
                  <c:v>6.9016497065341638E-3</c:v>
                </c:pt>
                <c:pt idx="31">
                  <c:v>7.6933567761269788E-3</c:v>
                </c:pt>
                <c:pt idx="32">
                  <c:v>8.5632579642274873E-3</c:v>
                </c:pt>
                <c:pt idx="33">
                  <c:v>9.5174888112689818E-3</c:v>
                </c:pt>
                <c:pt idx="34">
                  <c:v>1.0562480410328975E-2</c:v>
                </c:pt>
                <c:pt idx="35">
                  <c:v>1.1704952397934735E-2</c:v>
                </c:pt>
                <c:pt idx="36">
                  <c:v>1.2951902932225744E-2</c:v>
                </c:pt>
                <c:pt idx="37">
                  <c:v>1.4310595421162493E-2</c:v>
                </c:pt>
                <c:pt idx="38">
                  <c:v>1.5788541772875114E-2</c:v>
                </c:pt>
                <c:pt idx="39">
                  <c:v>1.739348195348921E-2</c:v>
                </c:pt>
                <c:pt idx="40">
                  <c:v>1.9133359655075646E-2</c:v>
                </c:pt>
                <c:pt idx="41">
                  <c:v>2.1016293897935485E-2</c:v>
                </c:pt>
                <c:pt idx="42">
                  <c:v>2.3050546417392567E-2</c:v>
                </c:pt>
                <c:pt idx="43">
                  <c:v>2.5244484715714367E-2</c:v>
                </c:pt>
                <c:pt idx="44">
                  <c:v>2.7606540694745035E-2</c:v>
                </c:pt>
                <c:pt idx="45">
                  <c:v>3.0145164824276708E-2</c:v>
                </c:pt>
                <c:pt idx="46">
                  <c:v>3.2868775844994327E-2</c:v>
                </c:pt>
                <c:pt idx="47">
                  <c:v>3.578570605281909E-2</c:v>
                </c:pt>
                <c:pt idx="48">
                  <c:v>3.8904142263374464E-2</c:v>
                </c:pt>
                <c:pt idx="49">
                  <c:v>4.2232062610751922E-2</c:v>
                </c:pt>
                <c:pt idx="50">
                  <c:v>4.5777169393317281E-2</c:v>
                </c:pt>
                <c:pt idx="51">
                  <c:v>4.9546818240443706E-2</c:v>
                </c:pt>
                <c:pt idx="52">
                  <c:v>5.3547943937164839E-2</c:v>
                </c:pt>
                <c:pt idx="53">
                  <c:v>5.7786983308112147E-2</c:v>
                </c:pt>
                <c:pt idx="54">
                  <c:v>6.2269795626953332E-2</c:v>
                </c:pt>
                <c:pt idx="55">
                  <c:v>6.7001581082029804E-2</c:v>
                </c:pt>
                <c:pt idx="56">
                  <c:v>7.1986797892085508E-2</c:v>
                </c:pt>
                <c:pt idx="57">
                  <c:v>7.7229078726912356E-2</c:v>
                </c:pt>
                <c:pt idx="58">
                  <c:v>8.2731147145397199E-2</c:v>
                </c:pt>
                <c:pt idx="59">
                  <c:v>8.8494734816798065E-2</c:v>
                </c:pt>
                <c:pt idx="60">
                  <c:v>9.4520500339046826E-2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5-9F4D-BBFD-589A083C04FF}"/>
            </c:ext>
          </c:extLst>
        </c:ser>
        <c:ser>
          <c:idx val="0"/>
          <c:order val="1"/>
          <c:tx>
            <c:v>Normal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'Mean Large'!$M$5:$M$65</c:f>
              <c:numCache>
                <c:formatCode>0.000</c:formatCode>
                <c:ptCount val="61"/>
                <c:pt idx="0">
                  <c:v>-4</c:v>
                </c:pt>
                <c:pt idx="1">
                  <c:v>-3.8666666666666667</c:v>
                </c:pt>
                <c:pt idx="2">
                  <c:v>-3.7333333333333334</c:v>
                </c:pt>
                <c:pt idx="3">
                  <c:v>-3.6</c:v>
                </c:pt>
                <c:pt idx="4">
                  <c:v>-3.4666666666666668</c:v>
                </c:pt>
                <c:pt idx="5">
                  <c:v>-3.3333333333333335</c:v>
                </c:pt>
                <c:pt idx="6">
                  <c:v>-3.2</c:v>
                </c:pt>
                <c:pt idx="7">
                  <c:v>-3.0666666666666669</c:v>
                </c:pt>
                <c:pt idx="8">
                  <c:v>-2.9333333333333336</c:v>
                </c:pt>
                <c:pt idx="9">
                  <c:v>-2.8000000000000003</c:v>
                </c:pt>
                <c:pt idx="10">
                  <c:v>-2.666666666666667</c:v>
                </c:pt>
                <c:pt idx="11">
                  <c:v>-2.5333333333333337</c:v>
                </c:pt>
                <c:pt idx="12">
                  <c:v>-2.4000000000000004</c:v>
                </c:pt>
                <c:pt idx="13">
                  <c:v>-2.2666666666666671</c:v>
                </c:pt>
                <c:pt idx="14">
                  <c:v>-2.1333333333333337</c:v>
                </c:pt>
                <c:pt idx="15">
                  <c:v>-2.0000000000000004</c:v>
                </c:pt>
                <c:pt idx="16">
                  <c:v>-1.8666666666666671</c:v>
                </c:pt>
                <c:pt idx="17">
                  <c:v>-1.7333333333333338</c:v>
                </c:pt>
                <c:pt idx="18">
                  <c:v>-1.6000000000000005</c:v>
                </c:pt>
                <c:pt idx="19">
                  <c:v>-1.4666666666666672</c:v>
                </c:pt>
                <c:pt idx="20">
                  <c:v>-1.3333333333333339</c:v>
                </c:pt>
                <c:pt idx="21">
                  <c:v>-1.2000000000000006</c:v>
                </c:pt>
                <c:pt idx="22">
                  <c:v>-1.0666666666666673</c:v>
                </c:pt>
                <c:pt idx="23">
                  <c:v>-0.93333333333333401</c:v>
                </c:pt>
                <c:pt idx="24">
                  <c:v>-0.80000000000000071</c:v>
                </c:pt>
                <c:pt idx="25">
                  <c:v>-0.66666666666666741</c:v>
                </c:pt>
                <c:pt idx="26">
                  <c:v>-0.5333333333333341</c:v>
                </c:pt>
                <c:pt idx="27">
                  <c:v>-0.4000000000000008</c:v>
                </c:pt>
                <c:pt idx="28">
                  <c:v>-0.2666666666666675</c:v>
                </c:pt>
                <c:pt idx="29">
                  <c:v>-0.13333333333333416</c:v>
                </c:pt>
                <c:pt idx="30">
                  <c:v>-8.3266726846886741E-16</c:v>
                </c:pt>
                <c:pt idx="31">
                  <c:v>0.1333333333333325</c:v>
                </c:pt>
                <c:pt idx="32">
                  <c:v>0.26666666666666583</c:v>
                </c:pt>
                <c:pt idx="33">
                  <c:v>0.39999999999999913</c:v>
                </c:pt>
                <c:pt idx="34">
                  <c:v>0.53333333333333244</c:v>
                </c:pt>
                <c:pt idx="35">
                  <c:v>0.66666666666666574</c:v>
                </c:pt>
                <c:pt idx="36">
                  <c:v>0.79999999999999905</c:v>
                </c:pt>
                <c:pt idx="37">
                  <c:v>0.93333333333333235</c:v>
                </c:pt>
                <c:pt idx="38">
                  <c:v>1.0666666666666658</c:v>
                </c:pt>
                <c:pt idx="39">
                  <c:v>1.1999999999999991</c:v>
                </c:pt>
                <c:pt idx="40">
                  <c:v>1.3333333333333324</c:v>
                </c:pt>
                <c:pt idx="41">
                  <c:v>1.4666666666666657</c:v>
                </c:pt>
                <c:pt idx="42">
                  <c:v>1.599999999999999</c:v>
                </c:pt>
                <c:pt idx="43">
                  <c:v>1.7333333333333323</c:v>
                </c:pt>
                <c:pt idx="44">
                  <c:v>1.8666666666666656</c:v>
                </c:pt>
                <c:pt idx="45">
                  <c:v>1.9999999999999989</c:v>
                </c:pt>
                <c:pt idx="46">
                  <c:v>2.1333333333333324</c:v>
                </c:pt>
                <c:pt idx="47">
                  <c:v>2.2666666666666657</c:v>
                </c:pt>
                <c:pt idx="48">
                  <c:v>2.399999999999999</c:v>
                </c:pt>
                <c:pt idx="49">
                  <c:v>2.5333333333333323</c:v>
                </c:pt>
                <c:pt idx="50">
                  <c:v>2.6666666666666656</c:v>
                </c:pt>
                <c:pt idx="51">
                  <c:v>2.7999999999999989</c:v>
                </c:pt>
                <c:pt idx="52">
                  <c:v>2.9333333333333322</c:v>
                </c:pt>
                <c:pt idx="53">
                  <c:v>3.0666666666666655</c:v>
                </c:pt>
                <c:pt idx="54">
                  <c:v>3.1999999999999988</c:v>
                </c:pt>
                <c:pt idx="55">
                  <c:v>3.3333333333333321</c:v>
                </c:pt>
                <c:pt idx="56">
                  <c:v>3.4666666666666655</c:v>
                </c:pt>
                <c:pt idx="57">
                  <c:v>3.5999999999999988</c:v>
                </c:pt>
                <c:pt idx="58">
                  <c:v>3.7333333333333321</c:v>
                </c:pt>
                <c:pt idx="59">
                  <c:v>3.8666666666666654</c:v>
                </c:pt>
                <c:pt idx="60">
                  <c:v>3.9999999999999987</c:v>
                </c:pt>
              </c:numCache>
            </c:numRef>
          </c:xVal>
          <c:yVal>
            <c:numRef>
              <c:f>'Mean Large'!$N$5:$N$65</c:f>
              <c:numCache>
                <c:formatCode>0.0000000</c:formatCode>
                <c:ptCount val="61"/>
                <c:pt idx="0">
                  <c:v>1.3383022576488537E-4</c:v>
                </c:pt>
                <c:pt idx="1">
                  <c:v>2.261088384036847E-4</c:v>
                </c:pt>
                <c:pt idx="2">
                  <c:v>3.7528402371763E-4</c:v>
                </c:pt>
                <c:pt idx="3">
                  <c:v>6.119019301137719E-4</c:v>
                </c:pt>
                <c:pt idx="4">
                  <c:v>9.8012796127537193E-4</c:v>
                </c:pt>
                <c:pt idx="5">
                  <c:v>1.5422789962911052E-3</c:v>
                </c:pt>
                <c:pt idx="6">
                  <c:v>2.3840882014648404E-3</c:v>
                </c:pt>
                <c:pt idx="7">
                  <c:v>3.6204362280192869E-3</c:v>
                </c:pt>
                <c:pt idx="8">
                  <c:v>5.4010561811943707E-3</c:v>
                </c:pt>
                <c:pt idx="9">
                  <c:v>7.9154515829799564E-3</c:v>
                </c:pt>
                <c:pt idx="10">
                  <c:v>1.1395986023797433E-2</c:v>
                </c:pt>
                <c:pt idx="11">
                  <c:v>1.6117858113648978E-2</c:v>
                </c:pt>
                <c:pt idx="12">
                  <c:v>2.2394530294842882E-2</c:v>
                </c:pt>
                <c:pt idx="13">
                  <c:v>3.0567209727885444E-2</c:v>
                </c:pt>
                <c:pt idx="14">
                  <c:v>4.0987256045222159E-2</c:v>
                </c:pt>
                <c:pt idx="15">
                  <c:v>5.3990966513188007E-2</c:v>
                </c:pt>
                <c:pt idx="16">
                  <c:v>6.9867076070915121E-2</c:v>
                </c:pt>
                <c:pt idx="17">
                  <c:v>8.8818461090591799E-2</c:v>
                </c:pt>
                <c:pt idx="18">
                  <c:v>0.11092083467945546</c:v>
                </c:pt>
                <c:pt idx="19">
                  <c:v>0.13608248241227794</c:v>
                </c:pt>
                <c:pt idx="20">
                  <c:v>0.16401007467599349</c:v>
                </c:pt>
                <c:pt idx="21">
                  <c:v>0.19418605498321281</c:v>
                </c:pt>
                <c:pt idx="22">
                  <c:v>0.2258628274671243</c:v>
                </c:pt>
                <c:pt idx="23">
                  <c:v>0.25807782590323747</c:v>
                </c:pt>
                <c:pt idx="24">
                  <c:v>0.28969155276148256</c:v>
                </c:pt>
                <c:pt idx="25">
                  <c:v>0.31944800552235209</c:v>
                </c:pt>
                <c:pt idx="26">
                  <c:v>0.34605389317692276</c:v>
                </c:pt>
                <c:pt idx="27">
                  <c:v>0.36827014030332322</c:v>
                </c:pt>
                <c:pt idx="28">
                  <c:v>0.3850068745960139</c:v>
                </c:pt>
                <c:pt idx="29">
                  <c:v>0.39541184088581766</c:v>
                </c:pt>
                <c:pt idx="30">
                  <c:v>0.3989422804014327</c:v>
                </c:pt>
                <c:pt idx="31">
                  <c:v>0.39541184088581777</c:v>
                </c:pt>
                <c:pt idx="32">
                  <c:v>0.38500687459601407</c:v>
                </c:pt>
                <c:pt idx="33">
                  <c:v>0.36827014030332345</c:v>
                </c:pt>
                <c:pt idx="34">
                  <c:v>0.34605389317692309</c:v>
                </c:pt>
                <c:pt idx="35">
                  <c:v>0.31944800552235242</c:v>
                </c:pt>
                <c:pt idx="36">
                  <c:v>0.28969155276148301</c:v>
                </c:pt>
                <c:pt idx="37">
                  <c:v>0.25807782590323791</c:v>
                </c:pt>
                <c:pt idx="38">
                  <c:v>0.22586282746712472</c:v>
                </c:pt>
                <c:pt idx="39">
                  <c:v>0.19418605498321317</c:v>
                </c:pt>
                <c:pt idx="40">
                  <c:v>0.16401007467599382</c:v>
                </c:pt>
                <c:pt idx="41">
                  <c:v>0.13608248241227827</c:v>
                </c:pt>
                <c:pt idx="42">
                  <c:v>0.11092083467945574</c:v>
                </c:pt>
                <c:pt idx="43">
                  <c:v>8.8818461090592035E-2</c:v>
                </c:pt>
                <c:pt idx="44">
                  <c:v>6.9867076070915329E-2</c:v>
                </c:pt>
                <c:pt idx="45">
                  <c:v>5.3990966513188167E-2</c:v>
                </c:pt>
                <c:pt idx="46">
                  <c:v>4.098725604522227E-2</c:v>
                </c:pt>
                <c:pt idx="47">
                  <c:v>3.0567209727885538E-2</c:v>
                </c:pt>
                <c:pt idx="48">
                  <c:v>2.2394530294842948E-2</c:v>
                </c:pt>
                <c:pt idx="49">
                  <c:v>1.6117858113649026E-2</c:v>
                </c:pt>
                <c:pt idx="50">
                  <c:v>1.1395986023797473E-2</c:v>
                </c:pt>
                <c:pt idx="51">
                  <c:v>7.9154515829799894E-3</c:v>
                </c:pt>
                <c:pt idx="52">
                  <c:v>5.401056181194395E-3</c:v>
                </c:pt>
                <c:pt idx="53">
                  <c:v>3.6204362280192995E-3</c:v>
                </c:pt>
                <c:pt idx="54">
                  <c:v>2.3840882014648512E-3</c:v>
                </c:pt>
                <c:pt idx="55">
                  <c:v>1.5422789962911121E-3</c:v>
                </c:pt>
                <c:pt idx="56">
                  <c:v>9.8012796127537626E-4</c:v>
                </c:pt>
                <c:pt idx="57">
                  <c:v>6.1190193011377515E-4</c:v>
                </c:pt>
                <c:pt idx="58">
                  <c:v>3.7528402371763201E-4</c:v>
                </c:pt>
                <c:pt idx="59">
                  <c:v>2.2610883840368568E-4</c:v>
                </c:pt>
                <c:pt idx="60">
                  <c:v>1.3383022576488607E-4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95-9F4D-BBFD-589A083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2192"/>
        <c:axId val="658344944"/>
      </c:scatterChart>
      <c:valAx>
        <c:axId val="658342192"/>
        <c:scaling>
          <c:orientation val="minMax"/>
          <c:max val="5"/>
          <c:min val="-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58344944"/>
        <c:crosses val="autoZero"/>
        <c:crossBetween val="midCat"/>
        <c:majorUnit val="1"/>
      </c:valAx>
      <c:valAx>
        <c:axId val="6583449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0000" sourceLinked="1"/>
        <c:majorTickMark val="none"/>
        <c:minorTickMark val="none"/>
        <c:tickLblPos val="none"/>
        <c:spPr>
          <a:ln w="3175">
            <a:solidFill>
              <a:srgbClr val="666666"/>
            </a:solidFill>
            <a:prstDash val="solid"/>
          </a:ln>
        </c:spPr>
        <c:crossAx val="658342192"/>
        <c:crosses val="autoZero"/>
        <c:crossBetween val="midCat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284480</xdr:colOff>
      <xdr:row>2</xdr:row>
      <xdr:rowOff>0</xdr:rowOff>
    </xdr:from>
    <xdr:to>
      <xdr:col>9</xdr:col>
      <xdr:colOff>403860</xdr:colOff>
      <xdr:row>11</xdr:row>
      <xdr:rowOff>139700</xdr:rowOff>
    </xdr:to>
    <xdr:graphicFrame macro="">
      <xdr:nvGraphicFramePr>
        <xdr:cNvPr id="6782" name="Chart 2">
          <a:extLst>
            <a:ext uri="{FF2B5EF4-FFF2-40B4-BE49-F238E27FC236}">
              <a16:creationId xmlns:a16="http://schemas.microsoft.com/office/drawing/2014/main" id="{00000000-0008-0000-0100-00007E1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246380</xdr:colOff>
      <xdr:row>12</xdr:row>
      <xdr:rowOff>129540</xdr:rowOff>
    </xdr:from>
    <xdr:to>
      <xdr:col>9</xdr:col>
      <xdr:colOff>401320</xdr:colOff>
      <xdr:row>22</xdr:row>
      <xdr:rowOff>142240</xdr:rowOff>
    </xdr:to>
    <xdr:graphicFrame macro="">
      <xdr:nvGraphicFramePr>
        <xdr:cNvPr id="6783" name="Chart 3">
          <a:extLst>
            <a:ext uri="{FF2B5EF4-FFF2-40B4-BE49-F238E27FC236}">
              <a16:creationId xmlns:a16="http://schemas.microsoft.com/office/drawing/2014/main" id="{00000000-0008-0000-0100-00007F1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12</xdr:row>
      <xdr:rowOff>132080</xdr:rowOff>
    </xdr:from>
    <xdr:to>
      <xdr:col>14</xdr:col>
      <xdr:colOff>431800</xdr:colOff>
      <xdr:row>22</xdr:row>
      <xdr:rowOff>180340</xdr:rowOff>
    </xdr:to>
    <xdr:graphicFrame macro="">
      <xdr:nvGraphicFramePr>
        <xdr:cNvPr id="6784" name="Chart 4">
          <a:extLst>
            <a:ext uri="{FF2B5EF4-FFF2-40B4-BE49-F238E27FC236}">
              <a16:creationId xmlns:a16="http://schemas.microsoft.com/office/drawing/2014/main" id="{00000000-0008-0000-0100-0000801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287866</xdr:colOff>
      <xdr:row>2</xdr:row>
      <xdr:rowOff>148166</xdr:rowOff>
    </xdr:from>
    <xdr:to>
      <xdr:col>6</xdr:col>
      <xdr:colOff>431800</xdr:colOff>
      <xdr:row>12</xdr:row>
      <xdr:rowOff>135466</xdr:rowOff>
    </xdr:to>
    <xdr:graphicFrame macro="">
      <xdr:nvGraphicFramePr>
        <xdr:cNvPr id="5759" name="Chart 2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287865</xdr:colOff>
      <xdr:row>13</xdr:row>
      <xdr:rowOff>0</xdr:rowOff>
    </xdr:from>
    <xdr:to>
      <xdr:col>6</xdr:col>
      <xdr:colOff>448732</xdr:colOff>
      <xdr:row>23</xdr:row>
      <xdr:rowOff>12700</xdr:rowOff>
    </xdr:to>
    <xdr:graphicFrame macro="">
      <xdr:nvGraphicFramePr>
        <xdr:cNvPr id="5760" name="Chart 3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13</xdr:row>
      <xdr:rowOff>12700</xdr:rowOff>
    </xdr:from>
    <xdr:to>
      <xdr:col>11</xdr:col>
      <xdr:colOff>330200</xdr:colOff>
      <xdr:row>23</xdr:row>
      <xdr:rowOff>38100</xdr:rowOff>
    </xdr:to>
    <xdr:graphicFrame macro="">
      <xdr:nvGraphicFramePr>
        <xdr:cNvPr id="5761" name="Chart 4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12700</xdr:rowOff>
    </xdr:from>
    <xdr:to>
      <xdr:col>8</xdr:col>
      <xdr:colOff>279400</xdr:colOff>
      <xdr:row>13</xdr:row>
      <xdr:rowOff>0</xdr:rowOff>
    </xdr:to>
    <xdr:graphicFrame macro="">
      <xdr:nvGraphicFramePr>
        <xdr:cNvPr id="4740" name="Chart 6">
          <a:extLst>
            <a:ext uri="{FF2B5EF4-FFF2-40B4-BE49-F238E27FC236}">
              <a16:creationId xmlns:a16="http://schemas.microsoft.com/office/drawing/2014/main" id="{00000000-0008-0000-0300-0000841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25</xdr:row>
      <xdr:rowOff>122766</xdr:rowOff>
    </xdr:from>
    <xdr:to>
      <xdr:col>8</xdr:col>
      <xdr:colOff>228600</xdr:colOff>
      <xdr:row>35</xdr:row>
      <xdr:rowOff>135466</xdr:rowOff>
    </xdr:to>
    <xdr:graphicFrame macro="">
      <xdr:nvGraphicFramePr>
        <xdr:cNvPr id="4741" name="Chart 7">
          <a:extLst>
            <a:ext uri="{FF2B5EF4-FFF2-40B4-BE49-F238E27FC236}">
              <a16:creationId xmlns:a16="http://schemas.microsoft.com/office/drawing/2014/main" id="{00000000-0008-0000-0300-0000851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169333</xdr:colOff>
      <xdr:row>14</xdr:row>
      <xdr:rowOff>55033</xdr:rowOff>
    </xdr:from>
    <xdr:to>
      <xdr:col>8</xdr:col>
      <xdr:colOff>228600</xdr:colOff>
      <xdr:row>24</xdr:row>
      <xdr:rowOff>80434</xdr:rowOff>
    </xdr:to>
    <xdr:graphicFrame macro="">
      <xdr:nvGraphicFramePr>
        <xdr:cNvPr id="4742" name="Chart 9">
          <a:extLst>
            <a:ext uri="{FF2B5EF4-FFF2-40B4-BE49-F238E27FC236}">
              <a16:creationId xmlns:a16="http://schemas.microsoft.com/office/drawing/2014/main" id="{00000000-0008-0000-0300-0000861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127000</xdr:rowOff>
    </xdr:from>
    <xdr:to>
      <xdr:col>15</xdr:col>
      <xdr:colOff>266700</xdr:colOff>
      <xdr:row>36</xdr:row>
      <xdr:rowOff>12700</xdr:rowOff>
    </xdr:to>
    <xdr:graphicFrame macro="">
      <xdr:nvGraphicFramePr>
        <xdr:cNvPr id="1453" name="Chart 1"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0</xdr:colOff>
      <xdr:row>50</xdr:row>
      <xdr:rowOff>165100</xdr:rowOff>
    </xdr:to>
    <xdr:graphicFrame macro="">
      <xdr:nvGraphicFramePr>
        <xdr:cNvPr id="1454" name="Chart 6"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50" zoomScaleNormal="150" zoomScalePageLayoutView="150" workbookViewId="0">
      <selection activeCell="A15" sqref="A15"/>
    </sheetView>
  </sheetViews>
  <sheetFormatPr baseColWidth="10" defaultRowHeight="13" x14ac:dyDescent="0.15"/>
  <cols>
    <col min="1" max="2" width="21.6640625" customWidth="1"/>
    <col min="3" max="3" width="26.6640625" customWidth="1"/>
    <col min="4" max="4" width="17" customWidth="1"/>
  </cols>
  <sheetData>
    <row r="1" spans="1:5" ht="18" x14ac:dyDescent="0.2">
      <c r="A1" s="104" t="s">
        <v>150</v>
      </c>
      <c r="B1" s="3"/>
      <c r="C1" s="3"/>
      <c r="D1" s="3"/>
    </row>
    <row r="2" spans="1:5" ht="16" x14ac:dyDescent="0.2">
      <c r="A2" s="157" t="s">
        <v>117</v>
      </c>
      <c r="B2" s="158"/>
      <c r="C2" s="158"/>
      <c r="D2" s="3"/>
    </row>
    <row r="3" spans="1:5" ht="16" x14ac:dyDescent="0.2">
      <c r="A3" s="158"/>
      <c r="B3" s="158"/>
      <c r="C3" s="158"/>
      <c r="D3" s="3"/>
    </row>
    <row r="4" spans="1:5" ht="16" x14ac:dyDescent="0.2">
      <c r="A4" s="3"/>
      <c r="B4" s="3"/>
    </row>
    <row r="5" spans="1:5" ht="18" x14ac:dyDescent="0.2">
      <c r="A5" s="148" t="s">
        <v>130</v>
      </c>
      <c r="B5" s="107">
        <v>61.813000000000002</v>
      </c>
      <c r="C5" s="108"/>
      <c r="D5" s="108"/>
    </row>
    <row r="6" spans="1:5" ht="18" x14ac:dyDescent="0.2">
      <c r="A6" s="106" t="s">
        <v>41</v>
      </c>
      <c r="B6" s="107">
        <v>10.647</v>
      </c>
      <c r="C6" s="108"/>
      <c r="D6" s="108"/>
    </row>
    <row r="7" spans="1:5" ht="18" x14ac:dyDescent="0.2">
      <c r="A7" s="106" t="s">
        <v>71</v>
      </c>
      <c r="B7" s="107">
        <v>16</v>
      </c>
      <c r="C7" s="108"/>
      <c r="D7" s="108"/>
    </row>
    <row r="8" spans="1:5" ht="18" x14ac:dyDescent="0.2">
      <c r="A8" s="106" t="s">
        <v>125</v>
      </c>
      <c r="B8" s="107">
        <v>95</v>
      </c>
      <c r="C8" s="109"/>
      <c r="D8" s="155" t="s">
        <v>161</v>
      </c>
      <c r="E8" s="156">
        <f>B7-1</f>
        <v>15</v>
      </c>
    </row>
    <row r="9" spans="1:5" ht="18" x14ac:dyDescent="0.2">
      <c r="A9" s="106" t="s">
        <v>72</v>
      </c>
      <c r="B9" s="151">
        <f>B6/B7^0.5</f>
        <v>2.6617500000000001</v>
      </c>
      <c r="C9" s="111" t="s">
        <v>114</v>
      </c>
      <c r="D9" s="111" t="s">
        <v>115</v>
      </c>
    </row>
    <row r="10" spans="1:5" ht="18" x14ac:dyDescent="0.2">
      <c r="A10" s="112" t="s">
        <v>129</v>
      </c>
      <c r="B10" s="108"/>
      <c r="C10" s="110">
        <f>ABS(_xlfn.NORM.S.INV((1-B8/100)/2))</f>
        <v>1.9599639845400536</v>
      </c>
      <c r="D10" s="110">
        <f>_xlfn.T.INV.2T(1-B8/100,B7-1)</f>
        <v>2.1314495455597742</v>
      </c>
    </row>
    <row r="11" spans="1:5" ht="18" x14ac:dyDescent="0.2">
      <c r="A11" s="112" t="s">
        <v>126</v>
      </c>
      <c r="B11" s="108"/>
      <c r="C11" s="110">
        <f>C10*B9</f>
        <v>5.2169341358494874</v>
      </c>
      <c r="D11" s="113">
        <f>D10*B9</f>
        <v>5.6733858278937292</v>
      </c>
    </row>
    <row r="12" spans="1:5" ht="18" x14ac:dyDescent="0.2">
      <c r="A12" s="114" t="s">
        <v>127</v>
      </c>
      <c r="B12" s="115"/>
      <c r="C12" s="116">
        <f>B5-C11</f>
        <v>56.596065864150518</v>
      </c>
      <c r="D12" s="117">
        <f>B5-D11</f>
        <v>56.13961417210627</v>
      </c>
    </row>
    <row r="13" spans="1:5" ht="18" x14ac:dyDescent="0.2">
      <c r="A13" s="114" t="s">
        <v>128</v>
      </c>
      <c r="B13" s="115"/>
      <c r="C13" s="116">
        <f>B5+C11</f>
        <v>67.029934135849487</v>
      </c>
      <c r="D13" s="117">
        <f>B5+D11</f>
        <v>67.486385827893727</v>
      </c>
    </row>
    <row r="14" spans="1:5" ht="18" x14ac:dyDescent="0.2">
      <c r="A14" s="108"/>
      <c r="B14" s="108"/>
      <c r="C14" s="108"/>
      <c r="D14" s="108"/>
    </row>
    <row r="15" spans="1:5" ht="18" x14ac:dyDescent="0.2">
      <c r="A15" s="153" t="s">
        <v>160</v>
      </c>
      <c r="B15" s="108"/>
      <c r="C15" s="108"/>
      <c r="D15" s="108"/>
    </row>
    <row r="16" spans="1:5" ht="18" x14ac:dyDescent="0.2">
      <c r="A16" s="108"/>
      <c r="B16" s="108"/>
      <c r="C16" s="112" t="s">
        <v>159</v>
      </c>
      <c r="D16" s="152">
        <v>1185</v>
      </c>
    </row>
    <row r="17" spans="1:4" ht="18" x14ac:dyDescent="0.2">
      <c r="A17" s="148" t="s">
        <v>116</v>
      </c>
      <c r="B17" s="118">
        <v>0.71</v>
      </c>
      <c r="C17" s="112" t="s">
        <v>71</v>
      </c>
      <c r="D17" s="152">
        <v>1669</v>
      </c>
    </row>
    <row r="18" spans="1:4" ht="18" x14ac:dyDescent="0.2">
      <c r="A18" s="106" t="s">
        <v>71</v>
      </c>
      <c r="B18" s="107">
        <v>1669</v>
      </c>
      <c r="C18" s="112" t="s">
        <v>54</v>
      </c>
      <c r="D18" s="153">
        <f>D16/D17</f>
        <v>0.7100059916117436</v>
      </c>
    </row>
    <row r="19" spans="1:4" ht="18" x14ac:dyDescent="0.2">
      <c r="A19" s="106" t="s">
        <v>125</v>
      </c>
      <c r="B19" s="107">
        <v>90</v>
      </c>
      <c r="C19" s="112" t="s">
        <v>125</v>
      </c>
      <c r="D19" s="152">
        <v>90</v>
      </c>
    </row>
    <row r="20" spans="1:4" ht="18" x14ac:dyDescent="0.2">
      <c r="A20" s="106" t="s">
        <v>1</v>
      </c>
      <c r="B20" s="154">
        <f>B17*(1-B17)</f>
        <v>0.20590000000000003</v>
      </c>
      <c r="C20" s="112" t="s">
        <v>1</v>
      </c>
      <c r="D20" s="154">
        <f>D18*(1-D18)</f>
        <v>0.20589748348716827</v>
      </c>
    </row>
    <row r="21" spans="1:4" ht="18" x14ac:dyDescent="0.2">
      <c r="A21" s="106" t="s">
        <v>41</v>
      </c>
      <c r="B21" s="113">
        <f>(B17*(1-B17))^0.5</f>
        <v>0.45376205218153715</v>
      </c>
      <c r="C21" s="112" t="s">
        <v>41</v>
      </c>
      <c r="D21" s="113">
        <f>(D18*(1-D18))^0.5</f>
        <v>0.45375927922982279</v>
      </c>
    </row>
    <row r="22" spans="1:4" ht="18" x14ac:dyDescent="0.2">
      <c r="A22" s="106" t="s">
        <v>72</v>
      </c>
      <c r="B22" s="113">
        <f>B21/B18^0.5</f>
        <v>1.1107082686280868E-2</v>
      </c>
      <c r="C22" s="112" t="s">
        <v>72</v>
      </c>
      <c r="D22" s="113">
        <f>D21/D17^0.5</f>
        <v>1.1107014810609404E-2</v>
      </c>
    </row>
    <row r="23" spans="1:4" ht="18" x14ac:dyDescent="0.2">
      <c r="A23" s="112" t="s">
        <v>49</v>
      </c>
      <c r="B23" s="110">
        <f>ABS(_xlfn.NORM.S.INV((1-B19/100)/2))</f>
        <v>1.6448536269514726</v>
      </c>
      <c r="C23" s="112" t="s">
        <v>49</v>
      </c>
      <c r="D23" s="110">
        <f>ABS(_xlfn.NORM.S.INV((1-D19/100)/2))</f>
        <v>1.6448536269514726</v>
      </c>
    </row>
    <row r="24" spans="1:4" ht="18" x14ac:dyDescent="0.2">
      <c r="A24" s="112" t="s">
        <v>126</v>
      </c>
      <c r="B24" s="113">
        <f>B22*B23</f>
        <v>1.8269525241378991E-2</v>
      </c>
      <c r="C24" s="112" t="s">
        <v>126</v>
      </c>
      <c r="D24" s="113">
        <f>D22*D23</f>
        <v>1.8269413595834602E-2</v>
      </c>
    </row>
    <row r="25" spans="1:4" ht="18" x14ac:dyDescent="0.2">
      <c r="A25" s="114" t="s">
        <v>127</v>
      </c>
      <c r="B25" s="119">
        <f>B17-B24</f>
        <v>0.69173047475862093</v>
      </c>
      <c r="C25" s="114" t="s">
        <v>127</v>
      </c>
      <c r="D25" s="119">
        <f>D18-D24</f>
        <v>0.69173657801590904</v>
      </c>
    </row>
    <row r="26" spans="1:4" ht="18" x14ac:dyDescent="0.2">
      <c r="A26" s="114" t="s">
        <v>128</v>
      </c>
      <c r="B26" s="119">
        <f>B17+B24</f>
        <v>0.728269525241379</v>
      </c>
      <c r="C26" s="114" t="s">
        <v>128</v>
      </c>
      <c r="D26" s="119">
        <f>D18+D24</f>
        <v>0.72827540520757816</v>
      </c>
    </row>
    <row r="27" spans="1:4" ht="16" x14ac:dyDescent="0.2">
      <c r="A27" s="3"/>
      <c r="B27" s="3"/>
      <c r="C27" s="3"/>
      <c r="D27" s="3"/>
    </row>
    <row r="28" spans="1:4" ht="16" x14ac:dyDescent="0.2">
      <c r="A28" s="3"/>
      <c r="B28" s="3"/>
      <c r="C28" s="3"/>
      <c r="D28" s="3"/>
    </row>
    <row r="29" spans="1:4" ht="16" x14ac:dyDescent="0.2">
      <c r="A29" s="3"/>
      <c r="B29" s="3"/>
      <c r="C29" s="3"/>
      <c r="D29" s="3"/>
    </row>
    <row r="30" spans="1:4" ht="16" x14ac:dyDescent="0.2">
      <c r="A30" s="3"/>
      <c r="B30" s="3"/>
      <c r="C30" s="3"/>
      <c r="D30" s="3"/>
    </row>
  </sheetData>
  <mergeCells count="1">
    <mergeCell ref="A2:C3"/>
  </mergeCells>
  <phoneticPr fontId="22" type="noConversion"/>
  <pageMargins left="0.7" right="0.7" top="0.75" bottom="0.75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0"/>
  <sheetViews>
    <sheetView workbookViewId="0">
      <selection activeCell="I56" sqref="I56"/>
    </sheetView>
  </sheetViews>
  <sheetFormatPr baseColWidth="10" defaultColWidth="8.83203125" defaultRowHeight="13" x14ac:dyDescent="0.15"/>
  <cols>
    <col min="3" max="3" width="11" customWidth="1"/>
  </cols>
  <sheetData>
    <row r="1" spans="1:7" ht="14" x14ac:dyDescent="0.15">
      <c r="A1" s="33" t="s">
        <v>68</v>
      </c>
      <c r="E1" s="45" t="s">
        <v>107</v>
      </c>
      <c r="F1" s="47">
        <f>COUNT(B10:B161)</f>
        <v>31</v>
      </c>
    </row>
    <row r="3" spans="1:7" x14ac:dyDescent="0.15">
      <c r="A3" s="19" t="s">
        <v>52</v>
      </c>
    </row>
    <row r="4" spans="1:7" x14ac:dyDescent="0.15">
      <c r="A4" s="19">
        <v>1</v>
      </c>
      <c r="B4" t="s">
        <v>83</v>
      </c>
    </row>
    <row r="5" spans="1:7" x14ac:dyDescent="0.15">
      <c r="A5" s="19">
        <v>2</v>
      </c>
      <c r="B5" t="s">
        <v>111</v>
      </c>
    </row>
    <row r="6" spans="1:7" x14ac:dyDescent="0.15">
      <c r="A6" s="19">
        <v>3</v>
      </c>
      <c r="B6" t="s">
        <v>31</v>
      </c>
    </row>
    <row r="7" spans="1:7" x14ac:dyDescent="0.15">
      <c r="A7" s="19">
        <v>4</v>
      </c>
      <c r="B7" t="s">
        <v>142</v>
      </c>
    </row>
    <row r="8" spans="1:7" x14ac:dyDescent="0.15">
      <c r="A8" s="19">
        <v>5</v>
      </c>
      <c r="B8" t="s">
        <v>34</v>
      </c>
    </row>
    <row r="10" spans="1:7" x14ac:dyDescent="0.15">
      <c r="A10" s="45" t="s">
        <v>69</v>
      </c>
      <c r="B10" s="45" t="s">
        <v>28</v>
      </c>
      <c r="C10" s="45" t="s">
        <v>29</v>
      </c>
      <c r="D10" s="45" t="s">
        <v>30</v>
      </c>
      <c r="F10" s="54" t="s">
        <v>16</v>
      </c>
    </row>
    <row r="11" spans="1:7" x14ac:dyDescent="0.15">
      <c r="A11">
        <v>1</v>
      </c>
      <c r="B11">
        <v>0.1</v>
      </c>
      <c r="C11" s="52">
        <f>(A11-0.375)/($F$1+0.25)</f>
        <v>0.02</v>
      </c>
      <c r="D11" s="52">
        <f t="shared" ref="D11:D42" si="0">_xlfn.NORM.S.INV(C11)</f>
        <v>-2.0537489106318225</v>
      </c>
    </row>
    <row r="12" spans="1:7" x14ac:dyDescent="0.15">
      <c r="A12">
        <v>2</v>
      </c>
      <c r="B12">
        <v>0.11</v>
      </c>
      <c r="C12" s="52">
        <f t="shared" ref="C12:C75" si="1">(A12-0.375)/($F$1+0.25)</f>
        <v>5.1999999999999998E-2</v>
      </c>
      <c r="D12" s="52">
        <f t="shared" si="0"/>
        <v>-1.6257633862332344</v>
      </c>
      <c r="F12" s="19" t="s">
        <v>17</v>
      </c>
      <c r="G12" s="47">
        <f>COUNT(B11:B162)</f>
        <v>31</v>
      </c>
    </row>
    <row r="13" spans="1:7" x14ac:dyDescent="0.15">
      <c r="A13">
        <v>3</v>
      </c>
      <c r="B13">
        <v>0.11</v>
      </c>
      <c r="C13" s="52">
        <f t="shared" si="1"/>
        <v>8.4000000000000005E-2</v>
      </c>
      <c r="D13" s="52">
        <f t="shared" si="0"/>
        <v>-1.3786587286232774</v>
      </c>
      <c r="F13" s="19" t="s">
        <v>12</v>
      </c>
      <c r="G13" s="55">
        <f>AVERAGE(B11:B161)</f>
        <v>0.2735483870967742</v>
      </c>
    </row>
    <row r="14" spans="1:7" x14ac:dyDescent="0.15">
      <c r="A14">
        <v>4</v>
      </c>
      <c r="B14">
        <v>0.11</v>
      </c>
      <c r="C14" s="52">
        <f t="shared" si="1"/>
        <v>0.11600000000000001</v>
      </c>
      <c r="D14" s="52">
        <f t="shared" si="0"/>
        <v>-1.1952227814374274</v>
      </c>
      <c r="F14" s="19" t="s">
        <v>20</v>
      </c>
      <c r="G14" s="55">
        <f>MEDIAN(B11:B162)</f>
        <v>0.23</v>
      </c>
    </row>
    <row r="15" spans="1:7" x14ac:dyDescent="0.15">
      <c r="A15">
        <v>5</v>
      </c>
      <c r="B15">
        <v>0.13</v>
      </c>
      <c r="C15" s="52">
        <f t="shared" si="1"/>
        <v>0.14799999999999999</v>
      </c>
      <c r="D15" s="52">
        <f t="shared" si="0"/>
        <v>-1.0450496996583867</v>
      </c>
      <c r="F15" s="19" t="s">
        <v>93</v>
      </c>
      <c r="G15" s="47">
        <f>_xlfn.STDEV.S(B11:B162)</f>
        <v>0.13729647694185432</v>
      </c>
    </row>
    <row r="16" spans="1:7" x14ac:dyDescent="0.15">
      <c r="A16">
        <v>6</v>
      </c>
      <c r="B16">
        <v>0.14000000000000001</v>
      </c>
      <c r="C16" s="52">
        <f t="shared" si="1"/>
        <v>0.18</v>
      </c>
      <c r="D16" s="52">
        <f t="shared" si="0"/>
        <v>-0.91536508784281501</v>
      </c>
      <c r="F16" s="19" t="s">
        <v>19</v>
      </c>
      <c r="G16" s="55">
        <f>MIN(B11:B162)</f>
        <v>0.1</v>
      </c>
    </row>
    <row r="17" spans="1:7" x14ac:dyDescent="0.15">
      <c r="A17">
        <v>7</v>
      </c>
      <c r="B17">
        <v>0.15</v>
      </c>
      <c r="C17" s="52">
        <f t="shared" si="1"/>
        <v>0.21199999999999999</v>
      </c>
      <c r="D17" s="52">
        <f t="shared" si="0"/>
        <v>-0.79950094313273623</v>
      </c>
      <c r="F17" s="19" t="s">
        <v>18</v>
      </c>
      <c r="G17" s="55">
        <f>MAX(B11:B162)</f>
        <v>0.57999999999999996</v>
      </c>
    </row>
    <row r="18" spans="1:7" x14ac:dyDescent="0.15">
      <c r="A18">
        <v>8</v>
      </c>
      <c r="B18">
        <v>0.16</v>
      </c>
      <c r="C18" s="52">
        <f t="shared" si="1"/>
        <v>0.24399999999999999</v>
      </c>
      <c r="D18" s="52">
        <f t="shared" si="0"/>
        <v>-0.6934933462832894</v>
      </c>
    </row>
    <row r="19" spans="1:7" x14ac:dyDescent="0.15">
      <c r="A19">
        <v>9</v>
      </c>
      <c r="B19">
        <v>0.16</v>
      </c>
      <c r="C19" s="52">
        <f t="shared" si="1"/>
        <v>0.27600000000000002</v>
      </c>
      <c r="D19" s="52">
        <f t="shared" si="0"/>
        <v>-0.59476584680167843</v>
      </c>
    </row>
    <row r="20" spans="1:7" x14ac:dyDescent="0.15">
      <c r="A20">
        <v>10</v>
      </c>
      <c r="B20">
        <v>0.17</v>
      </c>
      <c r="C20" s="52">
        <f t="shared" si="1"/>
        <v>0.308</v>
      </c>
      <c r="D20" s="52">
        <f t="shared" si="0"/>
        <v>-0.50152739897770826</v>
      </c>
    </row>
    <row r="21" spans="1:7" x14ac:dyDescent="0.15">
      <c r="A21">
        <v>11</v>
      </c>
      <c r="B21">
        <v>0.18</v>
      </c>
      <c r="C21" s="52">
        <f t="shared" si="1"/>
        <v>0.34</v>
      </c>
      <c r="D21" s="52">
        <f t="shared" si="0"/>
        <v>-0.41246312944140484</v>
      </c>
    </row>
    <row r="22" spans="1:7" x14ac:dyDescent="0.15">
      <c r="A22">
        <v>12</v>
      </c>
      <c r="B22">
        <v>0.18</v>
      </c>
      <c r="C22" s="52">
        <f t="shared" si="1"/>
        <v>0.372</v>
      </c>
      <c r="D22" s="52">
        <f t="shared" si="0"/>
        <v>-0.32656092741237269</v>
      </c>
    </row>
    <row r="23" spans="1:7" x14ac:dyDescent="0.15">
      <c r="A23">
        <v>13</v>
      </c>
      <c r="B23">
        <v>0.19</v>
      </c>
      <c r="C23" s="52">
        <f t="shared" si="1"/>
        <v>0.40400000000000003</v>
      </c>
      <c r="D23" s="52">
        <f t="shared" si="0"/>
        <v>-0.24300696740998221</v>
      </c>
    </row>
    <row r="24" spans="1:7" x14ac:dyDescent="0.15">
      <c r="A24">
        <v>14</v>
      </c>
      <c r="B24">
        <v>0.22</v>
      </c>
      <c r="C24" s="52">
        <f t="shared" si="1"/>
        <v>0.436</v>
      </c>
      <c r="D24" s="52">
        <f t="shared" si="0"/>
        <v>-0.16111858851074543</v>
      </c>
    </row>
    <row r="25" spans="1:7" x14ac:dyDescent="0.15">
      <c r="A25">
        <v>15</v>
      </c>
      <c r="B25">
        <v>0.22</v>
      </c>
      <c r="C25" s="52">
        <f t="shared" si="1"/>
        <v>0.46800000000000003</v>
      </c>
      <c r="D25" s="52">
        <f t="shared" si="0"/>
        <v>-8.0298312892054913E-2</v>
      </c>
    </row>
    <row r="26" spans="1:7" x14ac:dyDescent="0.15">
      <c r="A26">
        <v>16</v>
      </c>
      <c r="B26">
        <v>0.23</v>
      </c>
      <c r="C26" s="52">
        <f t="shared" si="1"/>
        <v>0.5</v>
      </c>
      <c r="D26" s="52">
        <f t="shared" si="0"/>
        <v>0</v>
      </c>
    </row>
    <row r="27" spans="1:7" x14ac:dyDescent="0.15">
      <c r="A27">
        <v>17</v>
      </c>
      <c r="B27">
        <v>0.25</v>
      </c>
      <c r="C27" s="52">
        <f t="shared" si="1"/>
        <v>0.53200000000000003</v>
      </c>
      <c r="D27" s="52">
        <f t="shared" si="0"/>
        <v>8.0298312892055052E-2</v>
      </c>
    </row>
    <row r="28" spans="1:7" x14ac:dyDescent="0.15">
      <c r="A28">
        <v>18</v>
      </c>
      <c r="B28">
        <v>0.26</v>
      </c>
      <c r="C28" s="52">
        <f t="shared" si="1"/>
        <v>0.56399999999999995</v>
      </c>
      <c r="D28" s="52">
        <f t="shared" si="0"/>
        <v>0.16111858851074529</v>
      </c>
    </row>
    <row r="29" spans="1:7" x14ac:dyDescent="0.15">
      <c r="A29">
        <v>19</v>
      </c>
      <c r="B29">
        <v>0.31</v>
      </c>
      <c r="C29" s="52">
        <f t="shared" si="1"/>
        <v>0.59599999999999997</v>
      </c>
      <c r="D29" s="52">
        <f t="shared" si="0"/>
        <v>0.24300696740998221</v>
      </c>
    </row>
    <row r="30" spans="1:7" x14ac:dyDescent="0.15">
      <c r="A30">
        <v>20</v>
      </c>
      <c r="B30">
        <v>0.31</v>
      </c>
      <c r="C30" s="52">
        <f t="shared" si="1"/>
        <v>0.628</v>
      </c>
      <c r="D30" s="52">
        <f t="shared" si="0"/>
        <v>0.32656092741237269</v>
      </c>
    </row>
    <row r="31" spans="1:7" x14ac:dyDescent="0.15">
      <c r="A31">
        <v>21</v>
      </c>
      <c r="B31">
        <v>0.36</v>
      </c>
      <c r="C31" s="52">
        <f t="shared" si="1"/>
        <v>0.66</v>
      </c>
      <c r="D31" s="52">
        <f t="shared" si="0"/>
        <v>0.41246312944140473</v>
      </c>
    </row>
    <row r="32" spans="1:7" x14ac:dyDescent="0.15">
      <c r="A32">
        <v>22</v>
      </c>
      <c r="B32">
        <v>0.37</v>
      </c>
      <c r="C32" s="52">
        <f t="shared" si="1"/>
        <v>0.69199999999999995</v>
      </c>
      <c r="D32" s="52">
        <f t="shared" si="0"/>
        <v>0.50152739897770804</v>
      </c>
    </row>
    <row r="33" spans="1:7" x14ac:dyDescent="0.15">
      <c r="A33">
        <v>23</v>
      </c>
      <c r="B33">
        <v>0.39</v>
      </c>
      <c r="C33" s="52">
        <f t="shared" si="1"/>
        <v>0.72399999999999998</v>
      </c>
      <c r="D33" s="52">
        <f t="shared" si="0"/>
        <v>0.59476584680167843</v>
      </c>
    </row>
    <row r="34" spans="1:7" x14ac:dyDescent="0.15">
      <c r="A34">
        <v>24</v>
      </c>
      <c r="B34">
        <v>0.41</v>
      </c>
      <c r="C34" s="52">
        <f t="shared" si="1"/>
        <v>0.75600000000000001</v>
      </c>
      <c r="D34" s="52">
        <f t="shared" si="0"/>
        <v>0.6934933462832894</v>
      </c>
    </row>
    <row r="35" spans="1:7" x14ac:dyDescent="0.15">
      <c r="A35">
        <v>25</v>
      </c>
      <c r="B35">
        <v>0.42</v>
      </c>
      <c r="C35" s="52">
        <f t="shared" si="1"/>
        <v>0.78800000000000003</v>
      </c>
      <c r="D35" s="52">
        <f t="shared" si="0"/>
        <v>0.79950094313273623</v>
      </c>
    </row>
    <row r="36" spans="1:7" x14ac:dyDescent="0.15">
      <c r="A36">
        <v>26</v>
      </c>
      <c r="B36">
        <v>0.43</v>
      </c>
      <c r="C36" s="52">
        <f t="shared" si="1"/>
        <v>0.82</v>
      </c>
      <c r="D36" s="52">
        <f t="shared" si="0"/>
        <v>0.91536508784281256</v>
      </c>
    </row>
    <row r="37" spans="1:7" ht="14" thickBot="1" x14ac:dyDescent="0.2">
      <c r="A37">
        <v>27</v>
      </c>
      <c r="B37">
        <v>0.43</v>
      </c>
      <c r="C37" s="52">
        <f t="shared" si="1"/>
        <v>0.85199999999999998</v>
      </c>
      <c r="D37" s="52">
        <f t="shared" si="0"/>
        <v>1.0450496996583867</v>
      </c>
    </row>
    <row r="38" spans="1:7" x14ac:dyDescent="0.15">
      <c r="A38">
        <v>28</v>
      </c>
      <c r="B38">
        <v>0.44</v>
      </c>
      <c r="C38" s="52">
        <f t="shared" si="1"/>
        <v>0.88400000000000001</v>
      </c>
      <c r="D38" s="52">
        <f t="shared" si="0"/>
        <v>1.1952227814374274</v>
      </c>
      <c r="F38" s="58" t="s">
        <v>85</v>
      </c>
      <c r="G38" s="58" t="s">
        <v>87</v>
      </c>
    </row>
    <row r="39" spans="1:7" x14ac:dyDescent="0.15">
      <c r="A39">
        <v>29</v>
      </c>
      <c r="B39">
        <v>0.44</v>
      </c>
      <c r="C39" s="52">
        <f t="shared" si="1"/>
        <v>0.91600000000000004</v>
      </c>
      <c r="D39" s="52">
        <f t="shared" si="0"/>
        <v>1.3786587286232788</v>
      </c>
      <c r="F39" s="59">
        <v>7.305808257522739E-2</v>
      </c>
      <c r="G39" s="56">
        <v>1</v>
      </c>
    </row>
    <row r="40" spans="1:7" x14ac:dyDescent="0.15">
      <c r="A40">
        <v>30</v>
      </c>
      <c r="B40">
        <v>0.52</v>
      </c>
      <c r="C40" s="52">
        <f t="shared" si="1"/>
        <v>0.94799999999999995</v>
      </c>
      <c r="D40" s="52">
        <f t="shared" si="0"/>
        <v>1.6257633862332341</v>
      </c>
      <c r="F40" s="59">
        <v>0.10030324236062511</v>
      </c>
      <c r="G40" s="56">
        <v>5</v>
      </c>
    </row>
    <row r="41" spans="1:7" x14ac:dyDescent="0.15">
      <c r="A41">
        <v>31</v>
      </c>
      <c r="B41" s="72">
        <v>0.57999999999999996</v>
      </c>
      <c r="C41" s="52">
        <f t="shared" si="1"/>
        <v>0.98</v>
      </c>
      <c r="D41" s="52">
        <f t="shared" si="0"/>
        <v>2.0537489106318221</v>
      </c>
      <c r="F41" s="59">
        <v>0.12754840214602284</v>
      </c>
      <c r="G41" s="56">
        <v>6</v>
      </c>
    </row>
    <row r="42" spans="1:7" x14ac:dyDescent="0.15">
      <c r="A42">
        <v>32</v>
      </c>
      <c r="C42" s="52">
        <f t="shared" si="1"/>
        <v>1.012</v>
      </c>
      <c r="D42" s="52" t="e">
        <f t="shared" si="0"/>
        <v>#NUM!</v>
      </c>
      <c r="F42" s="59">
        <v>0.15479356193142055</v>
      </c>
      <c r="G42" s="56">
        <v>15</v>
      </c>
    </row>
    <row r="43" spans="1:7" x14ac:dyDescent="0.15">
      <c r="A43">
        <v>33</v>
      </c>
      <c r="C43" s="52">
        <f t="shared" si="1"/>
        <v>1.044</v>
      </c>
      <c r="D43" s="52" t="e">
        <f t="shared" ref="D43:D74" si="2">_xlfn.NORM.S.INV(C43)</f>
        <v>#NUM!</v>
      </c>
      <c r="F43" s="59">
        <v>0.18203872171681829</v>
      </c>
      <c r="G43" s="56">
        <v>13</v>
      </c>
    </row>
    <row r="44" spans="1:7" x14ac:dyDescent="0.15">
      <c r="A44">
        <v>34</v>
      </c>
      <c r="C44" s="52">
        <f t="shared" si="1"/>
        <v>1.0760000000000001</v>
      </c>
      <c r="D44" s="52" t="e">
        <f t="shared" si="2"/>
        <v>#NUM!</v>
      </c>
      <c r="F44" s="59">
        <v>0.209283881502216</v>
      </c>
      <c r="G44" s="56">
        <v>18</v>
      </c>
    </row>
    <row r="45" spans="1:7" x14ac:dyDescent="0.15">
      <c r="A45">
        <v>35</v>
      </c>
      <c r="C45" s="52">
        <f t="shared" si="1"/>
        <v>1.1080000000000001</v>
      </c>
      <c r="D45" s="52" t="e">
        <f t="shared" si="2"/>
        <v>#NUM!</v>
      </c>
      <c r="F45" s="59">
        <v>0.23652904128761371</v>
      </c>
      <c r="G45" s="56">
        <v>8</v>
      </c>
    </row>
    <row r="46" spans="1:7" x14ac:dyDescent="0.15">
      <c r="A46">
        <v>36</v>
      </c>
      <c r="B46" s="72"/>
      <c r="C46" s="52">
        <f t="shared" si="1"/>
        <v>1.1399999999999999</v>
      </c>
      <c r="D46" s="52" t="e">
        <f t="shared" si="2"/>
        <v>#NUM!</v>
      </c>
      <c r="F46" s="59">
        <v>0.26377420107301142</v>
      </c>
      <c r="G46" s="56">
        <v>5</v>
      </c>
    </row>
    <row r="47" spans="1:7" x14ac:dyDescent="0.15">
      <c r="A47">
        <v>37</v>
      </c>
      <c r="B47" s="53"/>
      <c r="C47" s="52">
        <f t="shared" si="1"/>
        <v>1.1719999999999999</v>
      </c>
      <c r="D47" s="52" t="e">
        <f t="shared" si="2"/>
        <v>#NUM!</v>
      </c>
      <c r="F47" s="59">
        <v>0.29101936085840918</v>
      </c>
      <c r="G47" s="56">
        <v>4</v>
      </c>
    </row>
    <row r="48" spans="1:7" x14ac:dyDescent="0.15">
      <c r="A48">
        <v>38</v>
      </c>
      <c r="B48" s="53"/>
      <c r="C48" s="52">
        <f t="shared" si="1"/>
        <v>1.204</v>
      </c>
      <c r="D48" s="52" t="e">
        <f t="shared" si="2"/>
        <v>#NUM!</v>
      </c>
      <c r="F48" s="59">
        <v>0.31826452064380684</v>
      </c>
      <c r="G48" s="56">
        <v>5</v>
      </c>
    </row>
    <row r="49" spans="1:7" x14ac:dyDescent="0.15">
      <c r="A49">
        <v>39</v>
      </c>
      <c r="B49" s="53"/>
      <c r="C49" s="52">
        <f t="shared" si="1"/>
        <v>1.236</v>
      </c>
      <c r="D49" s="52" t="e">
        <f t="shared" si="2"/>
        <v>#NUM!</v>
      </c>
      <c r="F49" s="59">
        <v>0.3455096804292046</v>
      </c>
      <c r="G49" s="56">
        <v>1</v>
      </c>
    </row>
    <row r="50" spans="1:7" x14ac:dyDescent="0.15">
      <c r="A50">
        <v>40</v>
      </c>
      <c r="B50" s="53"/>
      <c r="C50" s="52">
        <f t="shared" si="1"/>
        <v>1.268</v>
      </c>
      <c r="D50" s="52" t="e">
        <f t="shared" si="2"/>
        <v>#NUM!</v>
      </c>
      <c r="F50" s="59">
        <v>0.37275484021460231</v>
      </c>
      <c r="G50" s="56">
        <v>1</v>
      </c>
    </row>
    <row r="51" spans="1:7" ht="14" thickBot="1" x14ac:dyDescent="0.2">
      <c r="A51">
        <v>41</v>
      </c>
      <c r="B51" s="53"/>
      <c r="C51" s="52">
        <f t="shared" si="1"/>
        <v>1.3</v>
      </c>
      <c r="D51" s="52" t="e">
        <f t="shared" si="2"/>
        <v>#NUM!</v>
      </c>
      <c r="F51" s="57" t="s">
        <v>86</v>
      </c>
      <c r="G51" s="57">
        <v>2</v>
      </c>
    </row>
    <row r="52" spans="1:7" x14ac:dyDescent="0.15">
      <c r="A52">
        <v>42</v>
      </c>
      <c r="B52" s="53"/>
      <c r="C52" s="52">
        <f t="shared" si="1"/>
        <v>1.3320000000000001</v>
      </c>
      <c r="D52" s="52" t="e">
        <f t="shared" si="2"/>
        <v>#NUM!</v>
      </c>
    </row>
    <row r="53" spans="1:7" x14ac:dyDescent="0.15">
      <c r="A53">
        <v>43</v>
      </c>
      <c r="B53" s="53"/>
      <c r="C53" s="52">
        <f t="shared" si="1"/>
        <v>1.3640000000000001</v>
      </c>
      <c r="D53" s="52" t="e">
        <f t="shared" si="2"/>
        <v>#NUM!</v>
      </c>
    </row>
    <row r="54" spans="1:7" x14ac:dyDescent="0.15">
      <c r="A54">
        <v>44</v>
      </c>
      <c r="B54" s="53"/>
      <c r="C54" s="52">
        <f t="shared" si="1"/>
        <v>1.3959999999999999</v>
      </c>
      <c r="D54" s="52" t="e">
        <f t="shared" si="2"/>
        <v>#NUM!</v>
      </c>
    </row>
    <row r="55" spans="1:7" x14ac:dyDescent="0.15">
      <c r="A55">
        <v>45</v>
      </c>
      <c r="B55" s="53"/>
      <c r="C55" s="52">
        <f t="shared" si="1"/>
        <v>1.4279999999999999</v>
      </c>
      <c r="D55" s="52" t="e">
        <f t="shared" si="2"/>
        <v>#NUM!</v>
      </c>
    </row>
    <row r="56" spans="1:7" x14ac:dyDescent="0.15">
      <c r="A56">
        <v>46</v>
      </c>
      <c r="B56" s="53"/>
      <c r="C56" s="52">
        <f t="shared" si="1"/>
        <v>1.46</v>
      </c>
      <c r="D56" s="52" t="e">
        <f t="shared" si="2"/>
        <v>#NUM!</v>
      </c>
    </row>
    <row r="57" spans="1:7" x14ac:dyDescent="0.15">
      <c r="A57">
        <v>47</v>
      </c>
      <c r="B57" s="53"/>
      <c r="C57" s="52">
        <f t="shared" si="1"/>
        <v>1.492</v>
      </c>
      <c r="D57" s="52" t="e">
        <f t="shared" si="2"/>
        <v>#NUM!</v>
      </c>
    </row>
    <row r="58" spans="1:7" x14ac:dyDescent="0.15">
      <c r="A58">
        <v>48</v>
      </c>
      <c r="B58" s="53"/>
      <c r="C58" s="52">
        <f t="shared" si="1"/>
        <v>1.524</v>
      </c>
      <c r="D58" s="52" t="e">
        <f t="shared" si="2"/>
        <v>#NUM!</v>
      </c>
    </row>
    <row r="59" spans="1:7" x14ac:dyDescent="0.15">
      <c r="A59">
        <v>49</v>
      </c>
      <c r="B59" s="53"/>
      <c r="C59" s="52">
        <f t="shared" si="1"/>
        <v>1.556</v>
      </c>
      <c r="D59" s="52" t="e">
        <f t="shared" si="2"/>
        <v>#NUM!</v>
      </c>
    </row>
    <row r="60" spans="1:7" x14ac:dyDescent="0.15">
      <c r="A60">
        <v>50</v>
      </c>
      <c r="B60" s="53"/>
      <c r="C60" s="52">
        <f t="shared" si="1"/>
        <v>1.5880000000000001</v>
      </c>
      <c r="D60" s="52" t="e">
        <f t="shared" si="2"/>
        <v>#NUM!</v>
      </c>
    </row>
    <row r="61" spans="1:7" x14ac:dyDescent="0.15">
      <c r="A61">
        <v>51</v>
      </c>
      <c r="B61" s="53"/>
      <c r="C61" s="52">
        <f t="shared" si="1"/>
        <v>1.62</v>
      </c>
      <c r="D61" s="52" t="e">
        <f t="shared" si="2"/>
        <v>#NUM!</v>
      </c>
    </row>
    <row r="62" spans="1:7" x14ac:dyDescent="0.15">
      <c r="A62">
        <v>52</v>
      </c>
      <c r="B62" s="53"/>
      <c r="C62" s="52">
        <f t="shared" si="1"/>
        <v>1.6519999999999999</v>
      </c>
      <c r="D62" s="52" t="e">
        <f t="shared" si="2"/>
        <v>#NUM!</v>
      </c>
    </row>
    <row r="63" spans="1:7" x14ac:dyDescent="0.15">
      <c r="A63">
        <v>53</v>
      </c>
      <c r="B63" s="53"/>
      <c r="C63" s="52">
        <f t="shared" si="1"/>
        <v>1.6839999999999999</v>
      </c>
      <c r="D63" s="52" t="e">
        <f t="shared" si="2"/>
        <v>#NUM!</v>
      </c>
    </row>
    <row r="64" spans="1:7" x14ac:dyDescent="0.15">
      <c r="A64">
        <v>54</v>
      </c>
      <c r="B64" s="53"/>
      <c r="C64" s="52">
        <f t="shared" si="1"/>
        <v>1.716</v>
      </c>
      <c r="D64" s="52" t="e">
        <f t="shared" si="2"/>
        <v>#NUM!</v>
      </c>
    </row>
    <row r="65" spans="1:4" x14ac:dyDescent="0.15">
      <c r="A65">
        <v>55</v>
      </c>
      <c r="B65" s="53"/>
      <c r="C65" s="52">
        <f t="shared" si="1"/>
        <v>1.748</v>
      </c>
      <c r="D65" s="52" t="e">
        <f t="shared" si="2"/>
        <v>#NUM!</v>
      </c>
    </row>
    <row r="66" spans="1:4" x14ac:dyDescent="0.15">
      <c r="A66">
        <v>56</v>
      </c>
      <c r="B66" s="53"/>
      <c r="C66" s="52">
        <f t="shared" si="1"/>
        <v>1.78</v>
      </c>
      <c r="D66" s="52" t="e">
        <f t="shared" si="2"/>
        <v>#NUM!</v>
      </c>
    </row>
    <row r="67" spans="1:4" x14ac:dyDescent="0.15">
      <c r="A67">
        <v>57</v>
      </c>
      <c r="B67" s="53"/>
      <c r="C67" s="52">
        <f t="shared" si="1"/>
        <v>1.8120000000000001</v>
      </c>
      <c r="D67" s="52" t="e">
        <f t="shared" si="2"/>
        <v>#NUM!</v>
      </c>
    </row>
    <row r="68" spans="1:4" x14ac:dyDescent="0.15">
      <c r="A68">
        <v>58</v>
      </c>
      <c r="B68" s="53"/>
      <c r="C68" s="52">
        <f t="shared" si="1"/>
        <v>1.8440000000000001</v>
      </c>
      <c r="D68" s="52" t="e">
        <f t="shared" si="2"/>
        <v>#NUM!</v>
      </c>
    </row>
    <row r="69" spans="1:4" x14ac:dyDescent="0.15">
      <c r="A69">
        <v>59</v>
      </c>
      <c r="B69" s="53"/>
      <c r="C69" s="52">
        <f t="shared" si="1"/>
        <v>1.8759999999999999</v>
      </c>
      <c r="D69" s="52" t="e">
        <f t="shared" si="2"/>
        <v>#NUM!</v>
      </c>
    </row>
    <row r="70" spans="1:4" x14ac:dyDescent="0.15">
      <c r="A70">
        <v>60</v>
      </c>
      <c r="B70" s="53"/>
      <c r="C70" s="52">
        <f t="shared" si="1"/>
        <v>1.9079999999999999</v>
      </c>
      <c r="D70" s="52" t="e">
        <f t="shared" si="2"/>
        <v>#NUM!</v>
      </c>
    </row>
    <row r="71" spans="1:4" x14ac:dyDescent="0.15">
      <c r="A71">
        <v>61</v>
      </c>
      <c r="B71" s="53"/>
      <c r="C71" s="52">
        <f t="shared" si="1"/>
        <v>1.94</v>
      </c>
      <c r="D71" s="52" t="e">
        <f t="shared" si="2"/>
        <v>#NUM!</v>
      </c>
    </row>
    <row r="72" spans="1:4" x14ac:dyDescent="0.15">
      <c r="A72">
        <v>62</v>
      </c>
      <c r="B72" s="53"/>
      <c r="C72" s="52">
        <f t="shared" si="1"/>
        <v>1.972</v>
      </c>
      <c r="D72" s="52" t="e">
        <f t="shared" si="2"/>
        <v>#NUM!</v>
      </c>
    </row>
    <row r="73" spans="1:4" x14ac:dyDescent="0.15">
      <c r="A73">
        <v>63</v>
      </c>
      <c r="B73" s="53"/>
      <c r="C73" s="52">
        <f t="shared" si="1"/>
        <v>2.004</v>
      </c>
      <c r="D73" s="52" t="e">
        <f t="shared" si="2"/>
        <v>#NUM!</v>
      </c>
    </row>
    <row r="74" spans="1:4" x14ac:dyDescent="0.15">
      <c r="A74">
        <v>64</v>
      </c>
      <c r="B74" s="53"/>
      <c r="C74" s="52">
        <f t="shared" si="1"/>
        <v>2.036</v>
      </c>
      <c r="D74" s="52" t="e">
        <f t="shared" si="2"/>
        <v>#NUM!</v>
      </c>
    </row>
    <row r="75" spans="1:4" x14ac:dyDescent="0.15">
      <c r="A75">
        <v>65</v>
      </c>
      <c r="B75" s="53"/>
      <c r="C75" s="52">
        <f t="shared" si="1"/>
        <v>2.0680000000000001</v>
      </c>
      <c r="D75" s="52" t="e">
        <f t="shared" ref="D75:D106" si="3">_xlfn.NORM.S.INV(C75)</f>
        <v>#NUM!</v>
      </c>
    </row>
    <row r="76" spans="1:4" x14ac:dyDescent="0.15">
      <c r="A76">
        <v>66</v>
      </c>
      <c r="B76" s="53"/>
      <c r="C76" s="52">
        <f t="shared" ref="C76:C128" si="4">(A76-0.375)/($F$1+0.25)</f>
        <v>2.1</v>
      </c>
      <c r="D76" s="52" t="e">
        <f t="shared" si="3"/>
        <v>#NUM!</v>
      </c>
    </row>
    <row r="77" spans="1:4" x14ac:dyDescent="0.15">
      <c r="A77">
        <v>67</v>
      </c>
      <c r="B77" s="53"/>
      <c r="C77" s="52">
        <f t="shared" si="4"/>
        <v>2.1320000000000001</v>
      </c>
      <c r="D77" s="52" t="e">
        <f t="shared" si="3"/>
        <v>#NUM!</v>
      </c>
    </row>
    <row r="78" spans="1:4" x14ac:dyDescent="0.15">
      <c r="A78">
        <v>68</v>
      </c>
      <c r="B78" s="53"/>
      <c r="C78" s="52">
        <f t="shared" si="4"/>
        <v>2.1640000000000001</v>
      </c>
      <c r="D78" s="52" t="e">
        <f t="shared" si="3"/>
        <v>#NUM!</v>
      </c>
    </row>
    <row r="79" spans="1:4" x14ac:dyDescent="0.15">
      <c r="A79">
        <v>69</v>
      </c>
      <c r="B79" s="53"/>
      <c r="C79" s="52">
        <f t="shared" si="4"/>
        <v>2.1960000000000002</v>
      </c>
      <c r="D79" s="52" t="e">
        <f t="shared" si="3"/>
        <v>#NUM!</v>
      </c>
    </row>
    <row r="80" spans="1:4" x14ac:dyDescent="0.15">
      <c r="A80">
        <v>70</v>
      </c>
      <c r="B80" s="53"/>
      <c r="C80" s="52">
        <f t="shared" si="4"/>
        <v>2.2280000000000002</v>
      </c>
      <c r="D80" s="52" t="e">
        <f t="shared" si="3"/>
        <v>#NUM!</v>
      </c>
    </row>
    <row r="81" spans="1:4" x14ac:dyDescent="0.15">
      <c r="A81">
        <v>71</v>
      </c>
      <c r="B81" s="53"/>
      <c r="C81" s="52">
        <f t="shared" si="4"/>
        <v>2.2599999999999998</v>
      </c>
      <c r="D81" s="52" t="e">
        <f t="shared" si="3"/>
        <v>#NUM!</v>
      </c>
    </row>
    <row r="82" spans="1:4" x14ac:dyDescent="0.15">
      <c r="A82">
        <v>72</v>
      </c>
      <c r="B82" s="53"/>
      <c r="C82" s="52">
        <f t="shared" si="4"/>
        <v>2.2919999999999998</v>
      </c>
      <c r="D82" s="52" t="e">
        <f t="shared" si="3"/>
        <v>#NUM!</v>
      </c>
    </row>
    <row r="83" spans="1:4" x14ac:dyDescent="0.15">
      <c r="A83">
        <v>73</v>
      </c>
      <c r="B83" s="53"/>
      <c r="C83" s="52">
        <f t="shared" si="4"/>
        <v>2.3239999999999998</v>
      </c>
      <c r="D83" s="52" t="e">
        <f t="shared" si="3"/>
        <v>#NUM!</v>
      </c>
    </row>
    <row r="84" spans="1:4" x14ac:dyDescent="0.15">
      <c r="A84">
        <v>74</v>
      </c>
      <c r="B84" s="53"/>
      <c r="C84" s="52">
        <f t="shared" si="4"/>
        <v>2.3559999999999999</v>
      </c>
      <c r="D84" s="52" t="e">
        <f t="shared" si="3"/>
        <v>#NUM!</v>
      </c>
    </row>
    <row r="85" spans="1:4" x14ac:dyDescent="0.15">
      <c r="A85">
        <v>75</v>
      </c>
      <c r="B85" s="53"/>
      <c r="C85" s="52">
        <f t="shared" si="4"/>
        <v>2.3879999999999999</v>
      </c>
      <c r="D85" s="52" t="e">
        <f t="shared" si="3"/>
        <v>#NUM!</v>
      </c>
    </row>
    <row r="86" spans="1:4" x14ac:dyDescent="0.15">
      <c r="A86">
        <v>76</v>
      </c>
      <c r="B86" s="53"/>
      <c r="C86" s="52">
        <f t="shared" si="4"/>
        <v>2.42</v>
      </c>
      <c r="D86" s="52" t="e">
        <f t="shared" si="3"/>
        <v>#NUM!</v>
      </c>
    </row>
    <row r="87" spans="1:4" x14ac:dyDescent="0.15">
      <c r="A87">
        <v>77</v>
      </c>
      <c r="B87" s="53"/>
      <c r="C87" s="52">
        <f t="shared" si="4"/>
        <v>2.452</v>
      </c>
      <c r="D87" s="52" t="e">
        <f t="shared" si="3"/>
        <v>#NUM!</v>
      </c>
    </row>
    <row r="88" spans="1:4" x14ac:dyDescent="0.15">
      <c r="A88">
        <v>78</v>
      </c>
      <c r="B88" s="53"/>
      <c r="C88" s="52">
        <f t="shared" si="4"/>
        <v>2.484</v>
      </c>
      <c r="D88" s="52" t="e">
        <f t="shared" si="3"/>
        <v>#NUM!</v>
      </c>
    </row>
    <row r="89" spans="1:4" x14ac:dyDescent="0.15">
      <c r="A89">
        <v>79</v>
      </c>
      <c r="B89" s="53"/>
      <c r="C89" s="52">
        <f t="shared" si="4"/>
        <v>2.516</v>
      </c>
      <c r="D89" s="52" t="e">
        <f t="shared" si="3"/>
        <v>#NUM!</v>
      </c>
    </row>
    <row r="90" spans="1:4" x14ac:dyDescent="0.15">
      <c r="A90">
        <v>80</v>
      </c>
      <c r="B90" s="53"/>
      <c r="C90" s="52">
        <f t="shared" si="4"/>
        <v>2.548</v>
      </c>
      <c r="D90" s="52" t="e">
        <f t="shared" si="3"/>
        <v>#NUM!</v>
      </c>
    </row>
    <row r="91" spans="1:4" x14ac:dyDescent="0.15">
      <c r="A91">
        <v>81</v>
      </c>
      <c r="B91" s="53"/>
      <c r="C91" s="52">
        <f t="shared" si="4"/>
        <v>2.58</v>
      </c>
      <c r="D91" s="52" t="e">
        <f t="shared" si="3"/>
        <v>#NUM!</v>
      </c>
    </row>
    <row r="92" spans="1:4" x14ac:dyDescent="0.15">
      <c r="A92">
        <v>82</v>
      </c>
      <c r="B92" s="53"/>
      <c r="C92" s="52">
        <f t="shared" si="4"/>
        <v>2.6120000000000001</v>
      </c>
      <c r="D92" s="52" t="e">
        <f t="shared" si="3"/>
        <v>#NUM!</v>
      </c>
    </row>
    <row r="93" spans="1:4" x14ac:dyDescent="0.15">
      <c r="A93">
        <v>83</v>
      </c>
      <c r="B93" s="53"/>
      <c r="C93" s="52">
        <f t="shared" si="4"/>
        <v>2.6440000000000001</v>
      </c>
      <c r="D93" s="52" t="e">
        <f t="shared" si="3"/>
        <v>#NUM!</v>
      </c>
    </row>
    <row r="94" spans="1:4" x14ac:dyDescent="0.15">
      <c r="A94">
        <v>84</v>
      </c>
      <c r="B94" s="53"/>
      <c r="C94" s="52">
        <f t="shared" si="4"/>
        <v>2.6760000000000002</v>
      </c>
      <c r="D94" s="52" t="e">
        <f t="shared" si="3"/>
        <v>#NUM!</v>
      </c>
    </row>
    <row r="95" spans="1:4" x14ac:dyDescent="0.15">
      <c r="A95">
        <v>85</v>
      </c>
      <c r="C95" s="52">
        <f t="shared" si="4"/>
        <v>2.7080000000000002</v>
      </c>
      <c r="D95" s="52" t="e">
        <f t="shared" si="3"/>
        <v>#NUM!</v>
      </c>
    </row>
    <row r="96" spans="1:4" x14ac:dyDescent="0.15">
      <c r="A96">
        <v>86</v>
      </c>
      <c r="C96" s="52">
        <f t="shared" si="4"/>
        <v>2.74</v>
      </c>
      <c r="D96" s="52" t="e">
        <f t="shared" si="3"/>
        <v>#NUM!</v>
      </c>
    </row>
    <row r="97" spans="1:4" x14ac:dyDescent="0.15">
      <c r="A97">
        <v>87</v>
      </c>
      <c r="C97" s="52">
        <f t="shared" si="4"/>
        <v>2.7719999999999998</v>
      </c>
      <c r="D97" s="52" t="e">
        <f t="shared" si="3"/>
        <v>#NUM!</v>
      </c>
    </row>
    <row r="98" spans="1:4" x14ac:dyDescent="0.15">
      <c r="A98">
        <v>88</v>
      </c>
      <c r="C98" s="52">
        <f t="shared" si="4"/>
        <v>2.8039999999999998</v>
      </c>
      <c r="D98" s="52" t="e">
        <f t="shared" si="3"/>
        <v>#NUM!</v>
      </c>
    </row>
    <row r="99" spans="1:4" x14ac:dyDescent="0.15">
      <c r="A99">
        <v>89</v>
      </c>
      <c r="C99" s="52">
        <f t="shared" si="4"/>
        <v>2.8359999999999999</v>
      </c>
      <c r="D99" s="52" t="e">
        <f t="shared" si="3"/>
        <v>#NUM!</v>
      </c>
    </row>
    <row r="100" spans="1:4" x14ac:dyDescent="0.15">
      <c r="A100">
        <v>90</v>
      </c>
      <c r="C100" s="52">
        <f t="shared" si="4"/>
        <v>2.8679999999999999</v>
      </c>
      <c r="D100" s="52" t="e">
        <f t="shared" si="3"/>
        <v>#NUM!</v>
      </c>
    </row>
    <row r="101" spans="1:4" x14ac:dyDescent="0.15">
      <c r="A101">
        <v>91</v>
      </c>
      <c r="C101" s="52">
        <f t="shared" si="4"/>
        <v>2.9</v>
      </c>
      <c r="D101" s="52" t="e">
        <f t="shared" si="3"/>
        <v>#NUM!</v>
      </c>
    </row>
    <row r="102" spans="1:4" x14ac:dyDescent="0.15">
      <c r="A102">
        <v>92</v>
      </c>
      <c r="C102" s="52">
        <f t="shared" si="4"/>
        <v>2.9319999999999999</v>
      </c>
      <c r="D102" s="52" t="e">
        <f t="shared" si="3"/>
        <v>#NUM!</v>
      </c>
    </row>
    <row r="103" spans="1:4" x14ac:dyDescent="0.15">
      <c r="A103">
        <v>93</v>
      </c>
      <c r="C103" s="52">
        <f t="shared" si="4"/>
        <v>2.964</v>
      </c>
      <c r="D103" s="52" t="e">
        <f t="shared" si="3"/>
        <v>#NUM!</v>
      </c>
    </row>
    <row r="104" spans="1:4" x14ac:dyDescent="0.15">
      <c r="A104">
        <v>94</v>
      </c>
      <c r="C104" s="52">
        <f t="shared" si="4"/>
        <v>2.996</v>
      </c>
      <c r="D104" s="52" t="e">
        <f t="shared" si="3"/>
        <v>#NUM!</v>
      </c>
    </row>
    <row r="105" spans="1:4" x14ac:dyDescent="0.15">
      <c r="A105">
        <v>95</v>
      </c>
      <c r="C105" s="52">
        <f t="shared" si="4"/>
        <v>3.028</v>
      </c>
      <c r="D105" s="52" t="e">
        <f t="shared" si="3"/>
        <v>#NUM!</v>
      </c>
    </row>
    <row r="106" spans="1:4" x14ac:dyDescent="0.15">
      <c r="A106">
        <v>96</v>
      </c>
      <c r="C106" s="52">
        <f t="shared" si="4"/>
        <v>3.06</v>
      </c>
      <c r="D106" s="52" t="e">
        <f t="shared" si="3"/>
        <v>#NUM!</v>
      </c>
    </row>
    <row r="107" spans="1:4" x14ac:dyDescent="0.15">
      <c r="A107">
        <v>97</v>
      </c>
      <c r="C107" s="52">
        <f t="shared" si="4"/>
        <v>3.0920000000000001</v>
      </c>
      <c r="D107" s="52" t="e">
        <f t="shared" ref="D107:D138" si="5">_xlfn.NORM.S.INV(C107)</f>
        <v>#NUM!</v>
      </c>
    </row>
    <row r="108" spans="1:4" x14ac:dyDescent="0.15">
      <c r="A108">
        <v>98</v>
      </c>
      <c r="C108" s="52">
        <f t="shared" si="4"/>
        <v>3.1240000000000001</v>
      </c>
      <c r="D108" s="52" t="e">
        <f t="shared" si="5"/>
        <v>#NUM!</v>
      </c>
    </row>
    <row r="109" spans="1:4" x14ac:dyDescent="0.15">
      <c r="A109">
        <v>99</v>
      </c>
      <c r="C109" s="52">
        <f t="shared" si="4"/>
        <v>3.1560000000000001</v>
      </c>
      <c r="D109" s="52" t="e">
        <f t="shared" si="5"/>
        <v>#NUM!</v>
      </c>
    </row>
    <row r="110" spans="1:4" x14ac:dyDescent="0.15">
      <c r="A110">
        <v>100</v>
      </c>
      <c r="C110" s="52">
        <f t="shared" si="4"/>
        <v>3.1880000000000002</v>
      </c>
      <c r="D110" s="52" t="e">
        <f t="shared" si="5"/>
        <v>#NUM!</v>
      </c>
    </row>
    <row r="111" spans="1:4" x14ac:dyDescent="0.15">
      <c r="A111">
        <v>101</v>
      </c>
      <c r="C111" s="52">
        <f t="shared" si="4"/>
        <v>3.22</v>
      </c>
      <c r="D111" s="52" t="e">
        <f t="shared" si="5"/>
        <v>#NUM!</v>
      </c>
    </row>
    <row r="112" spans="1:4" x14ac:dyDescent="0.15">
      <c r="A112">
        <v>102</v>
      </c>
      <c r="C112" s="52">
        <f t="shared" si="4"/>
        <v>3.2519999999999998</v>
      </c>
      <c r="D112" s="52" t="e">
        <f t="shared" si="5"/>
        <v>#NUM!</v>
      </c>
    </row>
    <row r="113" spans="1:4" x14ac:dyDescent="0.15">
      <c r="A113">
        <v>103</v>
      </c>
      <c r="C113" s="52">
        <f t="shared" si="4"/>
        <v>3.2839999999999998</v>
      </c>
      <c r="D113" s="52" t="e">
        <f t="shared" si="5"/>
        <v>#NUM!</v>
      </c>
    </row>
    <row r="114" spans="1:4" x14ac:dyDescent="0.15">
      <c r="A114">
        <v>104</v>
      </c>
      <c r="C114" s="52">
        <f t="shared" si="4"/>
        <v>3.3159999999999998</v>
      </c>
      <c r="D114" s="52" t="e">
        <f t="shared" si="5"/>
        <v>#NUM!</v>
      </c>
    </row>
    <row r="115" spans="1:4" x14ac:dyDescent="0.15">
      <c r="A115">
        <v>105</v>
      </c>
      <c r="C115" s="52">
        <f t="shared" si="4"/>
        <v>3.3479999999999999</v>
      </c>
      <c r="D115" s="52" t="e">
        <f t="shared" si="5"/>
        <v>#NUM!</v>
      </c>
    </row>
    <row r="116" spans="1:4" x14ac:dyDescent="0.15">
      <c r="A116">
        <v>106</v>
      </c>
      <c r="C116" s="52">
        <f t="shared" si="4"/>
        <v>3.38</v>
      </c>
      <c r="D116" s="52" t="e">
        <f t="shared" si="5"/>
        <v>#NUM!</v>
      </c>
    </row>
    <row r="117" spans="1:4" x14ac:dyDescent="0.15">
      <c r="A117">
        <v>107</v>
      </c>
      <c r="C117" s="52">
        <f t="shared" si="4"/>
        <v>3.4119999999999999</v>
      </c>
      <c r="D117" s="52" t="e">
        <f t="shared" si="5"/>
        <v>#NUM!</v>
      </c>
    </row>
    <row r="118" spans="1:4" x14ac:dyDescent="0.15">
      <c r="A118">
        <v>108</v>
      </c>
      <c r="C118" s="52">
        <f t="shared" si="4"/>
        <v>3.444</v>
      </c>
      <c r="D118" s="52" t="e">
        <f t="shared" si="5"/>
        <v>#NUM!</v>
      </c>
    </row>
    <row r="119" spans="1:4" x14ac:dyDescent="0.15">
      <c r="A119">
        <v>109</v>
      </c>
      <c r="C119" s="52">
        <f t="shared" si="4"/>
        <v>3.476</v>
      </c>
      <c r="D119" s="52" t="e">
        <f t="shared" si="5"/>
        <v>#NUM!</v>
      </c>
    </row>
    <row r="120" spans="1:4" x14ac:dyDescent="0.15">
      <c r="A120">
        <v>110</v>
      </c>
      <c r="C120" s="52">
        <f t="shared" si="4"/>
        <v>3.508</v>
      </c>
      <c r="D120" s="52" t="e">
        <f t="shared" si="5"/>
        <v>#NUM!</v>
      </c>
    </row>
    <row r="121" spans="1:4" x14ac:dyDescent="0.15">
      <c r="A121">
        <v>111</v>
      </c>
      <c r="C121" s="52">
        <f t="shared" si="4"/>
        <v>3.54</v>
      </c>
      <c r="D121" s="52" t="e">
        <f t="shared" si="5"/>
        <v>#NUM!</v>
      </c>
    </row>
    <row r="122" spans="1:4" x14ac:dyDescent="0.15">
      <c r="A122">
        <v>112</v>
      </c>
      <c r="C122" s="52">
        <f t="shared" si="4"/>
        <v>3.5720000000000001</v>
      </c>
      <c r="D122" s="52" t="e">
        <f t="shared" si="5"/>
        <v>#NUM!</v>
      </c>
    </row>
    <row r="123" spans="1:4" x14ac:dyDescent="0.15">
      <c r="A123">
        <v>113</v>
      </c>
      <c r="C123" s="52">
        <f t="shared" si="4"/>
        <v>3.6040000000000001</v>
      </c>
      <c r="D123" s="52" t="e">
        <f t="shared" si="5"/>
        <v>#NUM!</v>
      </c>
    </row>
    <row r="124" spans="1:4" x14ac:dyDescent="0.15">
      <c r="A124">
        <v>114</v>
      </c>
      <c r="C124" s="52">
        <f t="shared" si="4"/>
        <v>3.6360000000000001</v>
      </c>
      <c r="D124" s="52" t="e">
        <f t="shared" si="5"/>
        <v>#NUM!</v>
      </c>
    </row>
    <row r="125" spans="1:4" x14ac:dyDescent="0.15">
      <c r="A125">
        <v>115</v>
      </c>
      <c r="C125" s="52">
        <f t="shared" si="4"/>
        <v>3.6680000000000001</v>
      </c>
      <c r="D125" s="52" t="e">
        <f t="shared" si="5"/>
        <v>#NUM!</v>
      </c>
    </row>
    <row r="126" spans="1:4" x14ac:dyDescent="0.15">
      <c r="A126">
        <v>116</v>
      </c>
      <c r="C126" s="52">
        <f t="shared" si="4"/>
        <v>3.7</v>
      </c>
      <c r="D126" s="52" t="e">
        <f t="shared" si="5"/>
        <v>#NUM!</v>
      </c>
    </row>
    <row r="127" spans="1:4" x14ac:dyDescent="0.15">
      <c r="A127">
        <v>117</v>
      </c>
      <c r="C127" s="52">
        <f t="shared" si="4"/>
        <v>3.7320000000000002</v>
      </c>
      <c r="D127" s="52" t="e">
        <f t="shared" si="5"/>
        <v>#NUM!</v>
      </c>
    </row>
    <row r="128" spans="1:4" x14ac:dyDescent="0.15">
      <c r="A128">
        <v>118</v>
      </c>
      <c r="C128" s="52">
        <f t="shared" si="4"/>
        <v>3.7639999999999998</v>
      </c>
      <c r="D128" s="52" t="e">
        <f t="shared" si="5"/>
        <v>#NUM!</v>
      </c>
    </row>
    <row r="129" spans="1:4" x14ac:dyDescent="0.15">
      <c r="A129">
        <v>119</v>
      </c>
      <c r="C129" s="52">
        <f t="shared" ref="C129:C160" si="6">(A129-0.375)/($F$1+0.25)</f>
        <v>3.7959999999999998</v>
      </c>
      <c r="D129" s="52" t="e">
        <f t="shared" si="5"/>
        <v>#NUM!</v>
      </c>
    </row>
    <row r="130" spans="1:4" x14ac:dyDescent="0.15">
      <c r="A130">
        <v>120</v>
      </c>
      <c r="C130" s="52">
        <f t="shared" si="6"/>
        <v>3.8279999999999998</v>
      </c>
      <c r="D130" s="52" t="e">
        <f t="shared" si="5"/>
        <v>#NUM!</v>
      </c>
    </row>
    <row r="131" spans="1:4" x14ac:dyDescent="0.15">
      <c r="A131">
        <v>121</v>
      </c>
      <c r="C131" s="52">
        <f t="shared" si="6"/>
        <v>3.86</v>
      </c>
      <c r="D131" s="52" t="e">
        <f t="shared" si="5"/>
        <v>#NUM!</v>
      </c>
    </row>
    <row r="132" spans="1:4" x14ac:dyDescent="0.15">
      <c r="A132">
        <v>122</v>
      </c>
      <c r="C132" s="52">
        <f t="shared" si="6"/>
        <v>3.8919999999999999</v>
      </c>
      <c r="D132" s="52" t="e">
        <f t="shared" si="5"/>
        <v>#NUM!</v>
      </c>
    </row>
    <row r="133" spans="1:4" x14ac:dyDescent="0.15">
      <c r="A133">
        <v>123</v>
      </c>
      <c r="C133" s="52">
        <f t="shared" si="6"/>
        <v>3.9239999999999999</v>
      </c>
      <c r="D133" s="52" t="e">
        <f t="shared" si="5"/>
        <v>#NUM!</v>
      </c>
    </row>
    <row r="134" spans="1:4" x14ac:dyDescent="0.15">
      <c r="A134">
        <v>124</v>
      </c>
      <c r="C134" s="52">
        <f t="shared" si="6"/>
        <v>3.956</v>
      </c>
      <c r="D134" s="52" t="e">
        <f t="shared" si="5"/>
        <v>#NUM!</v>
      </c>
    </row>
    <row r="135" spans="1:4" x14ac:dyDescent="0.15">
      <c r="A135">
        <v>125</v>
      </c>
      <c r="C135" s="52">
        <f t="shared" si="6"/>
        <v>3.988</v>
      </c>
      <c r="D135" s="52" t="e">
        <f t="shared" si="5"/>
        <v>#NUM!</v>
      </c>
    </row>
    <row r="136" spans="1:4" x14ac:dyDescent="0.15">
      <c r="A136">
        <v>126</v>
      </c>
      <c r="C136" s="52">
        <f t="shared" si="6"/>
        <v>4.0199999999999996</v>
      </c>
      <c r="D136" s="52" t="e">
        <f t="shared" si="5"/>
        <v>#NUM!</v>
      </c>
    </row>
    <row r="137" spans="1:4" x14ac:dyDescent="0.15">
      <c r="A137">
        <v>127</v>
      </c>
      <c r="C137" s="52">
        <f t="shared" si="6"/>
        <v>4.0519999999999996</v>
      </c>
      <c r="D137" s="52" t="e">
        <f t="shared" si="5"/>
        <v>#NUM!</v>
      </c>
    </row>
    <row r="138" spans="1:4" x14ac:dyDescent="0.15">
      <c r="A138">
        <v>128</v>
      </c>
      <c r="C138" s="52">
        <f t="shared" si="6"/>
        <v>4.0839999999999996</v>
      </c>
      <c r="D138" s="52" t="e">
        <f t="shared" si="5"/>
        <v>#NUM!</v>
      </c>
    </row>
    <row r="139" spans="1:4" x14ac:dyDescent="0.15">
      <c r="A139">
        <v>129</v>
      </c>
      <c r="C139" s="52">
        <f t="shared" si="6"/>
        <v>4.1159999999999997</v>
      </c>
      <c r="D139" s="52" t="e">
        <f t="shared" ref="D139:D160" si="7">_xlfn.NORM.S.INV(C139)</f>
        <v>#NUM!</v>
      </c>
    </row>
    <row r="140" spans="1:4" x14ac:dyDescent="0.15">
      <c r="A140">
        <v>130</v>
      </c>
      <c r="C140" s="52">
        <f t="shared" si="6"/>
        <v>4.1479999999999997</v>
      </c>
      <c r="D140" s="52" t="e">
        <f t="shared" si="7"/>
        <v>#NUM!</v>
      </c>
    </row>
    <row r="141" spans="1:4" x14ac:dyDescent="0.15">
      <c r="A141">
        <v>131</v>
      </c>
      <c r="C141" s="52">
        <f t="shared" si="6"/>
        <v>4.18</v>
      </c>
      <c r="D141" s="52" t="e">
        <f t="shared" si="7"/>
        <v>#NUM!</v>
      </c>
    </row>
    <row r="142" spans="1:4" x14ac:dyDescent="0.15">
      <c r="A142">
        <v>132</v>
      </c>
      <c r="C142" s="52">
        <f t="shared" si="6"/>
        <v>4.2119999999999997</v>
      </c>
      <c r="D142" s="52" t="e">
        <f t="shared" si="7"/>
        <v>#NUM!</v>
      </c>
    </row>
    <row r="143" spans="1:4" x14ac:dyDescent="0.15">
      <c r="A143">
        <v>133</v>
      </c>
      <c r="C143" s="52">
        <f t="shared" si="6"/>
        <v>4.2439999999999998</v>
      </c>
      <c r="D143" s="52" t="e">
        <f t="shared" si="7"/>
        <v>#NUM!</v>
      </c>
    </row>
    <row r="144" spans="1:4" x14ac:dyDescent="0.15">
      <c r="A144">
        <v>134</v>
      </c>
      <c r="C144" s="52">
        <f t="shared" si="6"/>
        <v>4.2759999999999998</v>
      </c>
      <c r="D144" s="52" t="e">
        <f t="shared" si="7"/>
        <v>#NUM!</v>
      </c>
    </row>
    <row r="145" spans="1:4" x14ac:dyDescent="0.15">
      <c r="A145">
        <v>135</v>
      </c>
      <c r="C145" s="52">
        <f t="shared" si="6"/>
        <v>4.3079999999999998</v>
      </c>
      <c r="D145" s="52" t="e">
        <f t="shared" si="7"/>
        <v>#NUM!</v>
      </c>
    </row>
    <row r="146" spans="1:4" x14ac:dyDescent="0.15">
      <c r="A146">
        <v>136</v>
      </c>
      <c r="C146" s="52">
        <f t="shared" si="6"/>
        <v>4.34</v>
      </c>
      <c r="D146" s="52" t="e">
        <f t="shared" si="7"/>
        <v>#NUM!</v>
      </c>
    </row>
    <row r="147" spans="1:4" x14ac:dyDescent="0.15">
      <c r="A147">
        <v>137</v>
      </c>
      <c r="C147" s="52">
        <f t="shared" si="6"/>
        <v>4.3719999999999999</v>
      </c>
      <c r="D147" s="52" t="e">
        <f t="shared" si="7"/>
        <v>#NUM!</v>
      </c>
    </row>
    <row r="148" spans="1:4" x14ac:dyDescent="0.15">
      <c r="A148">
        <v>138</v>
      </c>
      <c r="C148" s="52">
        <f t="shared" si="6"/>
        <v>4.4039999999999999</v>
      </c>
      <c r="D148" s="52" t="e">
        <f t="shared" si="7"/>
        <v>#NUM!</v>
      </c>
    </row>
    <row r="149" spans="1:4" x14ac:dyDescent="0.15">
      <c r="A149">
        <v>139</v>
      </c>
      <c r="C149" s="52">
        <f t="shared" si="6"/>
        <v>4.4359999999999999</v>
      </c>
      <c r="D149" s="52" t="e">
        <f t="shared" si="7"/>
        <v>#NUM!</v>
      </c>
    </row>
    <row r="150" spans="1:4" x14ac:dyDescent="0.15">
      <c r="A150">
        <v>140</v>
      </c>
      <c r="C150" s="52">
        <f t="shared" si="6"/>
        <v>4.468</v>
      </c>
      <c r="D150" s="52" t="e">
        <f t="shared" si="7"/>
        <v>#NUM!</v>
      </c>
    </row>
    <row r="151" spans="1:4" x14ac:dyDescent="0.15">
      <c r="A151">
        <v>141</v>
      </c>
      <c r="C151" s="52">
        <f t="shared" si="6"/>
        <v>4.5</v>
      </c>
      <c r="D151" s="52" t="e">
        <f t="shared" si="7"/>
        <v>#NUM!</v>
      </c>
    </row>
    <row r="152" spans="1:4" x14ac:dyDescent="0.15">
      <c r="A152">
        <v>142</v>
      </c>
      <c r="C152" s="52">
        <f t="shared" si="6"/>
        <v>4.532</v>
      </c>
      <c r="D152" s="52" t="e">
        <f t="shared" si="7"/>
        <v>#NUM!</v>
      </c>
    </row>
    <row r="153" spans="1:4" x14ac:dyDescent="0.15">
      <c r="A153">
        <v>143</v>
      </c>
      <c r="C153" s="52">
        <f t="shared" si="6"/>
        <v>4.5640000000000001</v>
      </c>
      <c r="D153" s="52" t="e">
        <f t="shared" si="7"/>
        <v>#NUM!</v>
      </c>
    </row>
    <row r="154" spans="1:4" x14ac:dyDescent="0.15">
      <c r="A154">
        <v>144</v>
      </c>
      <c r="C154" s="52">
        <f t="shared" si="6"/>
        <v>4.5960000000000001</v>
      </c>
      <c r="D154" s="52" t="e">
        <f t="shared" si="7"/>
        <v>#NUM!</v>
      </c>
    </row>
    <row r="155" spans="1:4" x14ac:dyDescent="0.15">
      <c r="A155">
        <v>145</v>
      </c>
      <c r="C155" s="52">
        <f t="shared" si="6"/>
        <v>4.6280000000000001</v>
      </c>
      <c r="D155" s="52" t="e">
        <f t="shared" si="7"/>
        <v>#NUM!</v>
      </c>
    </row>
    <row r="156" spans="1:4" x14ac:dyDescent="0.15">
      <c r="A156">
        <v>146</v>
      </c>
      <c r="C156" s="52">
        <f t="shared" si="6"/>
        <v>4.66</v>
      </c>
      <c r="D156" s="52" t="e">
        <f t="shared" si="7"/>
        <v>#NUM!</v>
      </c>
    </row>
    <row r="157" spans="1:4" x14ac:dyDescent="0.15">
      <c r="A157">
        <v>147</v>
      </c>
      <c r="C157" s="52">
        <f t="shared" si="6"/>
        <v>4.6920000000000002</v>
      </c>
      <c r="D157" s="52" t="e">
        <f t="shared" si="7"/>
        <v>#NUM!</v>
      </c>
    </row>
    <row r="158" spans="1:4" x14ac:dyDescent="0.15">
      <c r="A158">
        <v>148</v>
      </c>
      <c r="C158" s="52">
        <f t="shared" si="6"/>
        <v>4.7240000000000002</v>
      </c>
      <c r="D158" s="52" t="e">
        <f t="shared" si="7"/>
        <v>#NUM!</v>
      </c>
    </row>
    <row r="159" spans="1:4" x14ac:dyDescent="0.15">
      <c r="A159">
        <v>149</v>
      </c>
      <c r="C159" s="52">
        <f t="shared" si="6"/>
        <v>4.7560000000000002</v>
      </c>
      <c r="D159" s="52" t="e">
        <f t="shared" si="7"/>
        <v>#NUM!</v>
      </c>
    </row>
    <row r="160" spans="1:4" x14ac:dyDescent="0.15">
      <c r="A160">
        <v>150</v>
      </c>
      <c r="C160" s="52">
        <f t="shared" si="6"/>
        <v>4.7880000000000003</v>
      </c>
      <c r="D160" s="52" t="e">
        <f t="shared" si="7"/>
        <v>#NUM!</v>
      </c>
    </row>
  </sheetData>
  <phoneticPr fontId="0" type="noConversion"/>
  <pageMargins left="0.7" right="0.7" top="0.75" bottom="0.75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workbookViewId="0">
      <selection activeCell="A41" sqref="A41"/>
    </sheetView>
  </sheetViews>
  <sheetFormatPr baseColWidth="10" defaultColWidth="8.83203125" defaultRowHeight="13" x14ac:dyDescent="0.15"/>
  <cols>
    <col min="1" max="1" width="40.33203125" customWidth="1"/>
    <col min="2" max="2" width="20.83203125" customWidth="1"/>
    <col min="3" max="3" width="11.6640625" customWidth="1"/>
  </cols>
  <sheetData>
    <row r="1" spans="1:3" x14ac:dyDescent="0.15">
      <c r="A1" s="19" t="s">
        <v>131</v>
      </c>
    </row>
    <row r="2" spans="1:3" x14ac:dyDescent="0.15">
      <c r="A2" s="47"/>
    </row>
    <row r="3" spans="1:3" x14ac:dyDescent="0.15">
      <c r="A3" s="47"/>
    </row>
    <row r="4" spans="1:3" x14ac:dyDescent="0.15">
      <c r="A4" s="47" t="s">
        <v>113</v>
      </c>
      <c r="B4" s="63">
        <v>10300</v>
      </c>
    </row>
    <row r="5" spans="1:3" x14ac:dyDescent="0.15">
      <c r="A5" s="47" t="s">
        <v>70</v>
      </c>
      <c r="B5" s="63">
        <v>3500</v>
      </c>
      <c r="C5" s="64">
        <f>B5/SQRT(B6)</f>
        <v>110.67971810589327</v>
      </c>
    </row>
    <row r="6" spans="1:3" x14ac:dyDescent="0.15">
      <c r="A6" s="47" t="s">
        <v>76</v>
      </c>
      <c r="B6" s="63">
        <v>1000</v>
      </c>
    </row>
    <row r="7" spans="1:3" x14ac:dyDescent="0.15">
      <c r="A7" s="47" t="s">
        <v>104</v>
      </c>
      <c r="B7" s="63">
        <v>0.1</v>
      </c>
    </row>
    <row r="8" spans="1:3" ht="26" x14ac:dyDescent="0.15">
      <c r="A8" s="67" t="s">
        <v>38</v>
      </c>
      <c r="B8" s="63">
        <v>10700</v>
      </c>
    </row>
    <row r="9" spans="1:3" x14ac:dyDescent="0.15">
      <c r="A9" s="47"/>
    </row>
    <row r="10" spans="1:3" x14ac:dyDescent="0.15">
      <c r="A10" s="47"/>
      <c r="B10" s="45" t="s">
        <v>137</v>
      </c>
      <c r="C10" s="45"/>
    </row>
    <row r="11" spans="1:3" x14ac:dyDescent="0.15">
      <c r="A11" s="47"/>
      <c r="B11" s="45" t="s">
        <v>45</v>
      </c>
      <c r="C11" s="45" t="s">
        <v>46</v>
      </c>
    </row>
    <row r="12" spans="1:3" x14ac:dyDescent="0.15">
      <c r="A12" s="66" t="s">
        <v>105</v>
      </c>
      <c r="B12" s="68">
        <f>_xlfn.NORM.S.INV(1-B7)</f>
        <v>1.2815515655446006</v>
      </c>
      <c r="C12" s="68">
        <f>_xlfn.NORM.S.INV((1-B7)+0.5*B7)</f>
        <v>1.6448536269514731</v>
      </c>
    </row>
    <row r="14" spans="1:3" ht="26" x14ac:dyDescent="0.15">
      <c r="A14" s="69" t="s">
        <v>123</v>
      </c>
      <c r="B14" s="64">
        <f>B4+B12*$C$5</f>
        <v>10441.841766012643</v>
      </c>
      <c r="C14" s="64">
        <f>B4+C12*C5</f>
        <v>10482.051935756444</v>
      </c>
    </row>
    <row r="15" spans="1:3" x14ac:dyDescent="0.15">
      <c r="A15" s="69"/>
      <c r="B15" s="64"/>
      <c r="C15" s="64">
        <f>B4-C12*C5</f>
        <v>10117.948064243556</v>
      </c>
    </row>
    <row r="16" spans="1:3" x14ac:dyDescent="0.15">
      <c r="A16" s="70" t="s">
        <v>7</v>
      </c>
    </row>
    <row r="18" spans="1:4" ht="39" x14ac:dyDescent="0.15">
      <c r="A18" s="69" t="s">
        <v>36</v>
      </c>
    </row>
    <row r="19" spans="1:4" x14ac:dyDescent="0.15">
      <c r="A19" s="66" t="s">
        <v>137</v>
      </c>
      <c r="B19" s="65">
        <f>(B14-$B$8)/$C$5</f>
        <v>-2.3324800460763977</v>
      </c>
      <c r="C19" s="65">
        <f>(C14-$B$8)/$C$5</f>
        <v>-1.9691779846695388</v>
      </c>
      <c r="D19" s="65">
        <f>(C15-$B$8)/$C$5</f>
        <v>-5.2588852385724714</v>
      </c>
    </row>
    <row r="20" spans="1:4" x14ac:dyDescent="0.15">
      <c r="A20" s="66" t="s">
        <v>90</v>
      </c>
      <c r="B20" s="65">
        <f>IF(B19&gt;0,_xlfn.NORM.S.DIST(B19,TRUE),_xlfn.NORM.S.DIST(B19,TRUE))</f>
        <v>9.8377257186900192E-3</v>
      </c>
      <c r="C20" s="65">
        <f>_xlfn.NORM.S.DIST(ABS(C19),TRUE)-0.5+(0.5-_xlfn.NORM.S.DIST(D19,TRUE))</f>
        <v>0.97553359950597174</v>
      </c>
      <c r="D20" s="18"/>
    </row>
    <row r="21" spans="1:4" x14ac:dyDescent="0.15">
      <c r="A21" s="66" t="s">
        <v>92</v>
      </c>
      <c r="B21" s="65">
        <f>1-B20</f>
        <v>0.99016227428130998</v>
      </c>
      <c r="C21" s="65">
        <f>1-C20</f>
        <v>2.4466400494028262E-2</v>
      </c>
    </row>
  </sheetData>
  <phoneticPr fontId="16" type="noConversion"/>
  <pageMargins left="0.7" right="0.7" top="0.75" bottom="0.75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7"/>
  <sheetViews>
    <sheetView zoomScale="200" zoomScaleNormal="200" zoomScalePageLayoutView="125" workbookViewId="0">
      <selection activeCell="B18" sqref="B18"/>
    </sheetView>
  </sheetViews>
  <sheetFormatPr baseColWidth="10" defaultRowHeight="13" x14ac:dyDescent="0.15"/>
  <cols>
    <col min="1" max="1" width="22.6640625" customWidth="1"/>
    <col min="2" max="2" width="13.5" customWidth="1"/>
    <col min="3" max="3" width="17.83203125" customWidth="1"/>
    <col min="4" max="6" width="11.6640625" customWidth="1"/>
    <col min="18" max="18" width="11.6640625" bestFit="1" customWidth="1"/>
    <col min="22" max="22" width="11.1640625" bestFit="1" customWidth="1"/>
  </cols>
  <sheetData>
    <row r="1" spans="1:26" ht="16" customHeight="1" x14ac:dyDescent="0.2">
      <c r="A1" s="1" t="s">
        <v>151</v>
      </c>
    </row>
    <row r="2" spans="1:26" ht="22" customHeight="1" x14ac:dyDescent="0.15">
      <c r="A2" s="159" t="s">
        <v>51</v>
      </c>
      <c r="B2" s="160"/>
      <c r="C2" s="160"/>
      <c r="E2" s="63"/>
    </row>
    <row r="3" spans="1:26" ht="14" customHeight="1" x14ac:dyDescent="0.2">
      <c r="A3" s="127" t="s">
        <v>35</v>
      </c>
      <c r="B3" s="128"/>
      <c r="C3" s="128"/>
      <c r="Q3" s="78" t="s">
        <v>15</v>
      </c>
      <c r="R3" s="78" t="s">
        <v>102</v>
      </c>
      <c r="S3" s="78" t="s">
        <v>103</v>
      </c>
      <c r="T3" s="85" t="s">
        <v>112</v>
      </c>
      <c r="U3" s="86" t="s">
        <v>32</v>
      </c>
      <c r="V3" s="85"/>
      <c r="W3" s="78" t="s">
        <v>134</v>
      </c>
      <c r="X3" s="86" t="s">
        <v>132</v>
      </c>
      <c r="Z3" s="45" t="s">
        <v>133</v>
      </c>
    </row>
    <row r="4" spans="1:26" ht="14" customHeight="1" x14ac:dyDescent="0.2">
      <c r="A4" s="8" t="s">
        <v>44</v>
      </c>
      <c r="B4" s="73">
        <v>0.17799999999999999</v>
      </c>
      <c r="C4" s="121"/>
      <c r="D4" s="79"/>
      <c r="E4" s="79"/>
      <c r="F4" s="79"/>
      <c r="Q4" s="46">
        <v>-4</v>
      </c>
      <c r="R4" s="80">
        <f t="shared" ref="R4:R35" si="0">_xlfn.NORM.DIST(Q4,0,1,FALSE)</f>
        <v>1.3383022576488537E-4</v>
      </c>
      <c r="S4" s="80">
        <f t="shared" ref="S4:S35" si="1">_xlfn.NORM.DIST(Q4,0,1,TRUE)</f>
        <v>3.1671241833119857E-5</v>
      </c>
      <c r="T4">
        <v>-4</v>
      </c>
      <c r="U4">
        <f>IF(B12&lt;0,B12,-B12)</f>
        <v>-4.8989794855663602</v>
      </c>
      <c r="V4" s="46">
        <f>Q4</f>
        <v>-4</v>
      </c>
      <c r="W4" s="81">
        <f t="shared" ref="W4:W35" si="2">_xlfn.NORM.DIST(V4,0,1,FALSE)</f>
        <v>1.3383022576488537E-4</v>
      </c>
      <c r="X4">
        <f>IF(B12&gt;0,B12,-B12)</f>
        <v>4.8989794855663602</v>
      </c>
      <c r="Y4" s="46">
        <f>-Q4</f>
        <v>4</v>
      </c>
      <c r="Z4" s="81">
        <f t="shared" ref="Z4:Z35" si="3">_xlfn.NORM.DIST(Y4,0,1,FALSE)</f>
        <v>1.3383022576488537E-4</v>
      </c>
    </row>
    <row r="5" spans="1:26" ht="14" customHeight="1" x14ac:dyDescent="0.2">
      <c r="A5" s="8" t="s">
        <v>33</v>
      </c>
      <c r="B5" s="150">
        <v>1.0999999999999999E-2</v>
      </c>
      <c r="C5" s="121"/>
      <c r="D5" s="79"/>
      <c r="E5" s="79"/>
      <c r="F5" s="79"/>
      <c r="Q5" s="46">
        <f t="shared" ref="Q5:Q36" si="4">8/60+Q4</f>
        <v>-3.8666666666666667</v>
      </c>
      <c r="R5" s="80">
        <f t="shared" si="0"/>
        <v>2.261088384036847E-4</v>
      </c>
      <c r="S5" s="80">
        <f t="shared" si="1"/>
        <v>5.5166535027278632E-5</v>
      </c>
      <c r="V5" s="46">
        <f t="shared" ref="V5:V36" si="5">($U$4-$V$4)/60+V4</f>
        <v>-4.0149829914261064</v>
      </c>
      <c r="W5" s="81">
        <f t="shared" si="2"/>
        <v>1.2603098810298616E-4</v>
      </c>
      <c r="Y5" s="46">
        <f t="shared" ref="Y5:Y36" si="6">($X$4-$Y$4)/60+Y4</f>
        <v>4.0149829914261064</v>
      </c>
      <c r="Z5" s="81">
        <f t="shared" si="3"/>
        <v>1.2603098810298616E-4</v>
      </c>
    </row>
    <row r="6" spans="1:26" ht="14" customHeight="1" x14ac:dyDescent="0.2">
      <c r="A6" s="8" t="s">
        <v>71</v>
      </c>
      <c r="B6" s="150">
        <v>6</v>
      </c>
      <c r="C6" s="121"/>
      <c r="D6" s="79"/>
      <c r="E6" s="79"/>
      <c r="F6" s="79"/>
      <c r="Q6" s="46">
        <f t="shared" si="4"/>
        <v>-3.7333333333333334</v>
      </c>
      <c r="R6" s="80">
        <f t="shared" si="0"/>
        <v>3.7528402371763E-4</v>
      </c>
      <c r="S6" s="80">
        <f t="shared" si="1"/>
        <v>9.4481124804330071E-5</v>
      </c>
      <c r="V6" s="46">
        <f t="shared" si="5"/>
        <v>-4.0299659828522127</v>
      </c>
      <c r="W6" s="81">
        <f t="shared" si="2"/>
        <v>1.1865962651302907E-4</v>
      </c>
      <c r="Y6" s="46">
        <f t="shared" si="6"/>
        <v>4.0299659828522127</v>
      </c>
      <c r="Z6" s="81">
        <f t="shared" si="3"/>
        <v>1.1865962651302907E-4</v>
      </c>
    </row>
    <row r="7" spans="1:26" ht="14" customHeight="1" x14ac:dyDescent="0.2">
      <c r="A7" s="8" t="s">
        <v>66</v>
      </c>
      <c r="B7" s="150">
        <v>0.2</v>
      </c>
      <c r="C7" s="121"/>
      <c r="D7" s="79"/>
      <c r="E7" s="79"/>
      <c r="F7" s="79"/>
      <c r="Q7" s="46">
        <f t="shared" si="4"/>
        <v>-3.6</v>
      </c>
      <c r="R7" s="80">
        <f t="shared" si="0"/>
        <v>6.119019301137719E-4</v>
      </c>
      <c r="S7" s="80">
        <f t="shared" si="1"/>
        <v>1.5910859015753364E-4</v>
      </c>
      <c r="V7" s="46">
        <f t="shared" si="5"/>
        <v>-4.0449489742783191</v>
      </c>
      <c r="W7" s="81">
        <f t="shared" si="2"/>
        <v>1.1169432761891044E-4</v>
      </c>
      <c r="Y7" s="46">
        <f t="shared" si="6"/>
        <v>4.0449489742783191</v>
      </c>
      <c r="Z7" s="81">
        <f t="shared" si="3"/>
        <v>1.1169432761891044E-4</v>
      </c>
    </row>
    <row r="8" spans="1:26" ht="14" customHeight="1" x14ac:dyDescent="0.2">
      <c r="A8" s="8" t="s">
        <v>2</v>
      </c>
      <c r="B8" s="15">
        <v>0.05</v>
      </c>
      <c r="C8" s="121"/>
      <c r="D8" s="79"/>
      <c r="E8" s="79"/>
      <c r="F8" s="79"/>
      <c r="Q8" s="46">
        <f t="shared" si="4"/>
        <v>-3.4666666666666668</v>
      </c>
      <c r="R8" s="80">
        <f t="shared" si="0"/>
        <v>9.8012796127537193E-4</v>
      </c>
      <c r="S8" s="80">
        <f t="shared" si="1"/>
        <v>2.6347746559529916E-4</v>
      </c>
      <c r="V8" s="46">
        <f t="shared" si="5"/>
        <v>-4.0599319657044255</v>
      </c>
      <c r="W8" s="81">
        <f t="shared" si="2"/>
        <v>1.0511429076712337E-4</v>
      </c>
      <c r="Y8" s="46">
        <f t="shared" si="6"/>
        <v>4.0599319657044255</v>
      </c>
      <c r="Z8" s="81">
        <f t="shared" si="3"/>
        <v>1.0511429076712337E-4</v>
      </c>
    </row>
    <row r="9" spans="1:26" ht="14" customHeight="1" x14ac:dyDescent="0.2">
      <c r="A9" s="8" t="s">
        <v>125</v>
      </c>
      <c r="B9" s="122">
        <v>95</v>
      </c>
      <c r="C9" s="121"/>
      <c r="D9" s="79"/>
      <c r="E9" s="79"/>
      <c r="F9" s="79"/>
      <c r="Q9" s="46">
        <f t="shared" si="4"/>
        <v>-3.3333333333333335</v>
      </c>
      <c r="R9" s="80">
        <f t="shared" si="0"/>
        <v>1.5422789962911052E-3</v>
      </c>
      <c r="S9" s="80">
        <f t="shared" si="1"/>
        <v>4.2906033319683703E-4</v>
      </c>
      <c r="V9" s="46">
        <f t="shared" si="5"/>
        <v>-4.0749149571305319</v>
      </c>
      <c r="W9" s="81">
        <f t="shared" si="2"/>
        <v>9.8899686705854767E-5</v>
      </c>
      <c r="Y9" s="46">
        <f t="shared" si="6"/>
        <v>4.0749149571305319</v>
      </c>
      <c r="Z9" s="81">
        <f t="shared" si="3"/>
        <v>9.8899686705854767E-5</v>
      </c>
    </row>
    <row r="10" spans="1:26" ht="14" customHeight="1" x14ac:dyDescent="0.2">
      <c r="A10" s="8" t="s">
        <v>75</v>
      </c>
      <c r="B10" s="123">
        <f>B6-1</f>
        <v>5</v>
      </c>
      <c r="C10" s="121"/>
      <c r="D10" s="79"/>
      <c r="E10" s="79"/>
      <c r="F10" s="79"/>
      <c r="Q10" s="46">
        <f t="shared" si="4"/>
        <v>-3.2</v>
      </c>
      <c r="R10" s="80">
        <f t="shared" si="0"/>
        <v>2.3840882014648404E-3</v>
      </c>
      <c r="S10" s="80">
        <f t="shared" si="1"/>
        <v>6.8713793791584719E-4</v>
      </c>
      <c r="V10" s="46">
        <f t="shared" si="5"/>
        <v>-4.0898979485566382</v>
      </c>
      <c r="W10" s="81">
        <f t="shared" si="2"/>
        <v>9.3031617636005936E-5</v>
      </c>
      <c r="Y10" s="46">
        <f t="shared" si="6"/>
        <v>4.0898979485566382</v>
      </c>
      <c r="Z10" s="81">
        <f t="shared" si="3"/>
        <v>9.3031617636005936E-5</v>
      </c>
    </row>
    <row r="11" spans="1:26" ht="14" customHeight="1" x14ac:dyDescent="0.2">
      <c r="A11" s="8" t="s">
        <v>95</v>
      </c>
      <c r="B11" s="12">
        <f>B5/SQRT(B6)</f>
        <v>4.4907311951024936E-3</v>
      </c>
      <c r="C11" s="121"/>
      <c r="D11" s="79"/>
      <c r="E11" s="79"/>
      <c r="F11" s="79"/>
      <c r="Q11" s="46">
        <f t="shared" si="4"/>
        <v>-3.0666666666666669</v>
      </c>
      <c r="R11" s="80">
        <f t="shared" si="0"/>
        <v>3.6204362280192869E-3</v>
      </c>
      <c r="S11" s="80">
        <f t="shared" si="1"/>
        <v>1.0823004813931892E-3</v>
      </c>
      <c r="T11">
        <v>-3</v>
      </c>
      <c r="V11" s="46">
        <f t="shared" si="5"/>
        <v>-4.1048809399827446</v>
      </c>
      <c r="W11" s="81">
        <f t="shared" si="2"/>
        <v>8.7492078605516405E-5</v>
      </c>
      <c r="Y11" s="46">
        <f t="shared" si="6"/>
        <v>4.1048809399827446</v>
      </c>
      <c r="Z11" s="81">
        <f t="shared" si="3"/>
        <v>8.7492078605516405E-5</v>
      </c>
    </row>
    <row r="12" spans="1:26" ht="14" customHeight="1" x14ac:dyDescent="0.2">
      <c r="A12" s="8" t="s">
        <v>153</v>
      </c>
      <c r="B12" s="7">
        <f>(B4-B7)/B11</f>
        <v>-4.8989794855663602</v>
      </c>
      <c r="C12" s="121"/>
      <c r="D12" s="79"/>
      <c r="E12" s="79"/>
      <c r="F12" s="79"/>
      <c r="Q12" s="46">
        <f t="shared" si="4"/>
        <v>-2.9333333333333336</v>
      </c>
      <c r="R12" s="80">
        <f t="shared" si="0"/>
        <v>5.4010561811943707E-3</v>
      </c>
      <c r="S12" s="80">
        <f t="shared" si="1"/>
        <v>1.6767182274731588E-3</v>
      </c>
      <c r="V12" s="46">
        <f t="shared" si="5"/>
        <v>-4.119863931408851</v>
      </c>
      <c r="W12" s="81">
        <f t="shared" si="2"/>
        <v>8.2263920218018913E-5</v>
      </c>
      <c r="Y12" s="46">
        <f t="shared" si="6"/>
        <v>4.119863931408851</v>
      </c>
      <c r="Z12" s="81">
        <f t="shared" si="3"/>
        <v>8.2263920218018913E-5</v>
      </c>
    </row>
    <row r="13" spans="1:26" ht="13" customHeight="1" x14ac:dyDescent="0.2">
      <c r="A13" s="8"/>
      <c r="B13" s="3"/>
      <c r="C13" s="13" t="s">
        <v>3</v>
      </c>
      <c r="Q13" s="46">
        <f>8/60+Q12</f>
        <v>-2.8000000000000003</v>
      </c>
      <c r="R13" s="80">
        <f t="shared" si="0"/>
        <v>7.9154515829799564E-3</v>
      </c>
      <c r="S13" s="80">
        <f t="shared" si="1"/>
        <v>2.5551303304279286E-3</v>
      </c>
      <c r="V13" s="46">
        <f t="shared" si="5"/>
        <v>-4.1348469228349574</v>
      </c>
      <c r="W13" s="81">
        <f t="shared" si="2"/>
        <v>7.7330812626559203E-5</v>
      </c>
      <c r="Y13" s="46">
        <f t="shared" si="6"/>
        <v>4.1348469228349574</v>
      </c>
      <c r="Z13" s="81">
        <f t="shared" si="3"/>
        <v>7.7330812626559203E-5</v>
      </c>
    </row>
    <row r="14" spans="1:26" ht="14" customHeight="1" x14ac:dyDescent="0.2">
      <c r="A14" s="100" t="s">
        <v>135</v>
      </c>
      <c r="B14" s="103">
        <f>_xlfn.T.DIST.RT(ABS(B12),B10)</f>
        <v>2.2392161552310516E-3</v>
      </c>
      <c r="C14" s="124" t="str">
        <f>IF(B14&lt;$B$8,"Reject Ho:","Fail to Reject Ho:")</f>
        <v>Reject Ho:</v>
      </c>
      <c r="Q14" s="46">
        <f t="shared" si="4"/>
        <v>-2.666666666666667</v>
      </c>
      <c r="R14" s="80">
        <f t="shared" si="0"/>
        <v>1.1395986023797433E-2</v>
      </c>
      <c r="S14" s="80">
        <f t="shared" si="1"/>
        <v>3.8303805675897291E-3</v>
      </c>
      <c r="V14" s="46">
        <f t="shared" si="5"/>
        <v>-4.1498299142610637</v>
      </c>
      <c r="W14" s="81">
        <f t="shared" si="2"/>
        <v>7.2677210782900596E-5</v>
      </c>
      <c r="Y14" s="46">
        <f t="shared" si="6"/>
        <v>4.1498299142610637</v>
      </c>
      <c r="Z14" s="81">
        <f t="shared" si="3"/>
        <v>7.2677210782900596E-5</v>
      </c>
    </row>
    <row r="15" spans="1:26" ht="14" customHeight="1" x14ac:dyDescent="0.2">
      <c r="A15" s="100" t="s">
        <v>43</v>
      </c>
      <c r="B15" s="103">
        <f>2*B14</f>
        <v>4.4784323104621031E-3</v>
      </c>
      <c r="C15" s="124" t="str">
        <f>IF(B15&lt;$B$8,"Reject Ho:","Fail to Reject Ho:")</f>
        <v>Reject Ho:</v>
      </c>
      <c r="Q15" s="46">
        <f t="shared" si="4"/>
        <v>-2.5333333333333337</v>
      </c>
      <c r="R15" s="80">
        <f t="shared" si="0"/>
        <v>1.6117858113648978E-2</v>
      </c>
      <c r="S15" s="80">
        <f t="shared" si="1"/>
        <v>5.6491727555606323E-3</v>
      </c>
      <c r="V15" s="46">
        <f t="shared" si="5"/>
        <v>-4.1648129056871701</v>
      </c>
      <c r="W15" s="81">
        <f t="shared" si="2"/>
        <v>6.828832091277405E-5</v>
      </c>
      <c r="Y15" s="46">
        <f t="shared" si="6"/>
        <v>4.1648129056871701</v>
      </c>
      <c r="Z15" s="81">
        <f t="shared" si="3"/>
        <v>6.828832091277405E-5</v>
      </c>
    </row>
    <row r="16" spans="1:26" ht="14" customHeight="1" x14ac:dyDescent="0.2">
      <c r="A16" s="8"/>
      <c r="B16" s="3"/>
      <c r="C16" s="3"/>
      <c r="Q16" s="46">
        <f t="shared" si="4"/>
        <v>-2.4000000000000004</v>
      </c>
      <c r="R16" s="80">
        <f t="shared" si="0"/>
        <v>2.2394530294842882E-2</v>
      </c>
      <c r="S16" s="80">
        <f t="shared" si="1"/>
        <v>8.1975359245961138E-3</v>
      </c>
      <c r="V16" s="46">
        <f t="shared" si="5"/>
        <v>-4.1797958971132765</v>
      </c>
      <c r="W16" s="81">
        <f t="shared" si="2"/>
        <v>6.4150068187346409E-5</v>
      </c>
      <c r="Y16" s="46">
        <f t="shared" si="6"/>
        <v>4.1797958971132765</v>
      </c>
      <c r="Z16" s="81">
        <f t="shared" si="3"/>
        <v>6.4150068187346409E-5</v>
      </c>
    </row>
    <row r="17" spans="1:26" ht="14" customHeight="1" x14ac:dyDescent="0.2">
      <c r="A17" s="8" t="s">
        <v>154</v>
      </c>
      <c r="B17" s="12">
        <f>-_xlfn.T.INV.2T(B8*2,B10)</f>
        <v>-2.0150483733330233</v>
      </c>
      <c r="C17" s="125">
        <f>ABS(B17)</f>
        <v>2.0150483733330233</v>
      </c>
      <c r="Q17" s="46">
        <f t="shared" si="4"/>
        <v>-2.2666666666666671</v>
      </c>
      <c r="R17" s="80">
        <f t="shared" si="0"/>
        <v>3.0567209727885444E-2</v>
      </c>
      <c r="S17" s="80">
        <f t="shared" si="1"/>
        <v>1.170529808055833E-2</v>
      </c>
      <c r="V17" s="46">
        <f t="shared" si="5"/>
        <v>-4.1947788885393829</v>
      </c>
      <c r="W17" s="81">
        <f t="shared" si="2"/>
        <v>6.0249065561135783E-5</v>
      </c>
      <c r="Y17" s="46">
        <f t="shared" si="6"/>
        <v>4.1947788885393829</v>
      </c>
      <c r="Z17" s="81">
        <f t="shared" si="3"/>
        <v>6.0249065561135783E-5</v>
      </c>
    </row>
    <row r="18" spans="1:26" ht="14" customHeight="1" x14ac:dyDescent="0.2">
      <c r="A18" s="8" t="s">
        <v>155</v>
      </c>
      <c r="B18" s="12">
        <f>-_xlfn.T.INV.2T(B8,B10)</f>
        <v>-2.570581835636315</v>
      </c>
      <c r="C18" s="125">
        <f>ABS(B18)</f>
        <v>2.570581835636315</v>
      </c>
      <c r="Q18" s="46">
        <f t="shared" si="4"/>
        <v>-2.1333333333333337</v>
      </c>
      <c r="R18" s="80">
        <f t="shared" si="0"/>
        <v>4.0987256045222159E-2</v>
      </c>
      <c r="S18" s="80">
        <f t="shared" si="1"/>
        <v>1.6448695822745309E-2</v>
      </c>
      <c r="V18" s="46">
        <f t="shared" si="5"/>
        <v>-4.2097618799654892</v>
      </c>
      <c r="W18" s="81">
        <f t="shared" si="2"/>
        <v>5.6572583746628231E-5</v>
      </c>
      <c r="Y18" s="46">
        <f t="shared" si="6"/>
        <v>4.2097618799654892</v>
      </c>
      <c r="Z18" s="81">
        <f t="shared" si="3"/>
        <v>5.6572583746628231E-5</v>
      </c>
    </row>
    <row r="19" spans="1:26" ht="13" customHeight="1" x14ac:dyDescent="0.2">
      <c r="A19" s="3"/>
      <c r="B19" s="3"/>
      <c r="C19" s="2"/>
      <c r="D19" s="63"/>
      <c r="E19" s="63"/>
      <c r="F19" s="63"/>
      <c r="Q19" s="46">
        <f t="shared" si="4"/>
        <v>-2.0000000000000004</v>
      </c>
      <c r="R19" s="80">
        <f t="shared" si="0"/>
        <v>5.3990966513188007E-2</v>
      </c>
      <c r="S19" s="80">
        <f t="shared" si="1"/>
        <v>2.2750131948179184E-2</v>
      </c>
      <c r="T19">
        <v>-2</v>
      </c>
      <c r="V19" s="46">
        <f t="shared" si="5"/>
        <v>-4.2247448713915956</v>
      </c>
      <c r="W19" s="81">
        <f t="shared" si="2"/>
        <v>5.3108522295910792E-5</v>
      </c>
      <c r="Y19" s="46">
        <f t="shared" si="6"/>
        <v>4.2247448713915956</v>
      </c>
      <c r="Z19" s="81">
        <f t="shared" si="3"/>
        <v>5.3108522295910792E-5</v>
      </c>
    </row>
    <row r="20" spans="1:26" ht="13" customHeight="1" x14ac:dyDescent="0.2">
      <c r="A20" s="120" t="s">
        <v>48</v>
      </c>
      <c r="B20" s="101"/>
      <c r="C20" s="105"/>
      <c r="D20" s="63"/>
      <c r="E20" s="63"/>
      <c r="F20" s="63"/>
      <c r="Q20" s="46">
        <f t="shared" si="4"/>
        <v>-1.8666666666666671</v>
      </c>
      <c r="R20" s="80">
        <f t="shared" si="0"/>
        <v>6.9867076070915121E-2</v>
      </c>
      <c r="S20" s="80">
        <f t="shared" si="1"/>
        <v>3.0974075706740548E-2</v>
      </c>
      <c r="V20" s="46">
        <f t="shared" si="5"/>
        <v>-4.239727862817702</v>
      </c>
      <c r="W20" s="81">
        <f t="shared" si="2"/>
        <v>4.9845381759758816E-5</v>
      </c>
      <c r="Y20" s="46">
        <f t="shared" si="6"/>
        <v>4.239727862817702</v>
      </c>
      <c r="Z20" s="81">
        <f t="shared" si="3"/>
        <v>4.9845381759758816E-5</v>
      </c>
    </row>
    <row r="21" spans="1:26" ht="14" customHeight="1" x14ac:dyDescent="0.2">
      <c r="A21" s="1" t="s">
        <v>130</v>
      </c>
      <c r="B21" s="12">
        <f>B4</f>
        <v>0.17799999999999999</v>
      </c>
      <c r="C21" s="3"/>
      <c r="D21" s="63"/>
      <c r="E21" s="63"/>
      <c r="F21" s="63"/>
      <c r="Q21" s="46">
        <f t="shared" si="4"/>
        <v>-1.7333333333333338</v>
      </c>
      <c r="R21" s="80">
        <f t="shared" si="0"/>
        <v>8.8818461090591799E-2</v>
      </c>
      <c r="S21" s="80">
        <f t="shared" si="1"/>
        <v>4.1518219688779057E-2</v>
      </c>
      <c r="V21" s="46">
        <f t="shared" si="5"/>
        <v>-4.2547108542438083</v>
      </c>
      <c r="W21" s="81">
        <f t="shared" si="2"/>
        <v>4.6772236894769316E-5</v>
      </c>
      <c r="Y21" s="46">
        <f t="shared" si="6"/>
        <v>4.2547108542438083</v>
      </c>
      <c r="Z21" s="81">
        <f t="shared" si="3"/>
        <v>4.6772236894769316E-5</v>
      </c>
    </row>
    <row r="22" spans="1:26" ht="14" customHeight="1" x14ac:dyDescent="0.2">
      <c r="A22" s="1" t="s">
        <v>41</v>
      </c>
      <c r="B22" s="12">
        <f>B5</f>
        <v>1.0999999999999999E-2</v>
      </c>
      <c r="C22" s="3"/>
      <c r="D22" s="63"/>
      <c r="E22" s="63"/>
      <c r="F22" s="63"/>
      <c r="Q22" s="46">
        <f t="shared" si="4"/>
        <v>-1.6000000000000005</v>
      </c>
      <c r="R22" s="80">
        <f t="shared" si="0"/>
        <v>0.11092083467945546</v>
      </c>
      <c r="S22" s="80">
        <f t="shared" si="1"/>
        <v>5.4799291699557925E-2</v>
      </c>
      <c r="V22" s="46">
        <f t="shared" si="5"/>
        <v>-4.2696938456699147</v>
      </c>
      <c r="W22" s="81">
        <f t="shared" si="2"/>
        <v>4.3878710889338141E-5</v>
      </c>
      <c r="Y22" s="46">
        <f t="shared" si="6"/>
        <v>4.2696938456699147</v>
      </c>
      <c r="Z22" s="81">
        <f t="shared" si="3"/>
        <v>4.3878710889338141E-5</v>
      </c>
    </row>
    <row r="23" spans="1:26" ht="14" customHeight="1" x14ac:dyDescent="0.2">
      <c r="A23" s="1" t="s">
        <v>71</v>
      </c>
      <c r="B23" s="12">
        <f>B6</f>
        <v>6</v>
      </c>
      <c r="C23" s="3"/>
      <c r="Q23" s="46">
        <f t="shared" si="4"/>
        <v>-1.4666666666666672</v>
      </c>
      <c r="R23" s="80">
        <f t="shared" si="0"/>
        <v>0.13608248241227794</v>
      </c>
      <c r="S23" s="80">
        <f t="shared" si="1"/>
        <v>7.1233377413985999E-2</v>
      </c>
      <c r="V23" s="46">
        <f t="shared" si="5"/>
        <v>-4.2846768370960211</v>
      </c>
      <c r="W23" s="81">
        <f t="shared" si="2"/>
        <v>4.1154950579517606E-5</v>
      </c>
      <c r="Y23" s="46">
        <f t="shared" si="6"/>
        <v>4.2846768370960211</v>
      </c>
      <c r="Z23" s="81">
        <f t="shared" si="3"/>
        <v>4.1154950579517606E-5</v>
      </c>
    </row>
    <row r="24" spans="1:26" ht="14" customHeight="1" x14ac:dyDescent="0.2">
      <c r="A24" s="1" t="s">
        <v>125</v>
      </c>
      <c r="B24" s="126">
        <f>B9/100</f>
        <v>0.95</v>
      </c>
      <c r="C24" s="11"/>
      <c r="Q24" s="46">
        <f t="shared" si="4"/>
        <v>-1.3333333333333339</v>
      </c>
      <c r="R24" s="80">
        <f t="shared" si="0"/>
        <v>0.16401007467599349</v>
      </c>
      <c r="S24" s="80">
        <f t="shared" si="1"/>
        <v>9.1211219725867779E-2</v>
      </c>
      <c r="V24" s="46">
        <f t="shared" si="5"/>
        <v>-4.2996598285221275</v>
      </c>
      <c r="W24" s="81">
        <f t="shared" si="2"/>
        <v>3.8591602626065291E-5</v>
      </c>
      <c r="Y24" s="46">
        <f t="shared" si="6"/>
        <v>4.2996598285221275</v>
      </c>
      <c r="Z24" s="81">
        <f t="shared" si="3"/>
        <v>3.8591602626065291E-5</v>
      </c>
    </row>
    <row r="25" spans="1:26" ht="14" customHeight="1" x14ac:dyDescent="0.2">
      <c r="A25" s="1" t="s">
        <v>72</v>
      </c>
      <c r="B25" s="12">
        <f>B22/B23^0.5</f>
        <v>4.4907311951024936E-3</v>
      </c>
      <c r="C25" s="3"/>
      <c r="D25" s="65"/>
      <c r="E25" s="65"/>
      <c r="F25" s="65"/>
      <c r="Q25" s="46">
        <f t="shared" si="4"/>
        <v>-1.2000000000000006</v>
      </c>
      <c r="R25" s="80">
        <f t="shared" si="0"/>
        <v>0.19418605498321281</v>
      </c>
      <c r="S25" s="80">
        <f t="shared" si="1"/>
        <v>0.1150696702217081</v>
      </c>
      <c r="V25" s="46">
        <f t="shared" si="5"/>
        <v>-4.3146428199482338</v>
      </c>
      <c r="W25" s="81">
        <f t="shared" si="2"/>
        <v>3.6179790624305723E-5</v>
      </c>
      <c r="Y25" s="46">
        <f t="shared" si="6"/>
        <v>4.3146428199482338</v>
      </c>
      <c r="Z25" s="81">
        <f t="shared" si="3"/>
        <v>3.6179790624305723E-5</v>
      </c>
    </row>
    <row r="26" spans="1:26" ht="14" customHeight="1" x14ac:dyDescent="0.2">
      <c r="A26" s="8" t="s">
        <v>148</v>
      </c>
      <c r="B26" s="12">
        <f>ABS(_xlfn.T.INV.2T((1-B24),B10))</f>
        <v>2.570581835636315</v>
      </c>
      <c r="C26" s="3"/>
      <c r="Q26" s="46">
        <f t="shared" si="4"/>
        <v>-1.0666666666666673</v>
      </c>
      <c r="R26" s="80">
        <f t="shared" si="0"/>
        <v>0.2258628274671243</v>
      </c>
      <c r="S26" s="80">
        <f t="shared" si="1"/>
        <v>0.14306119219550886</v>
      </c>
      <c r="T26">
        <v>-1</v>
      </c>
      <c r="V26" s="46">
        <f t="shared" si="5"/>
        <v>-4.3296258113743402</v>
      </c>
      <c r="W26" s="81">
        <f t="shared" si="2"/>
        <v>3.3911093118764104E-5</v>
      </c>
      <c r="Y26" s="46">
        <f t="shared" si="6"/>
        <v>4.3296258113743402</v>
      </c>
      <c r="Z26" s="81">
        <f t="shared" si="3"/>
        <v>3.3911093118764104E-5</v>
      </c>
    </row>
    <row r="27" spans="1:26" ht="14" customHeight="1" x14ac:dyDescent="0.2">
      <c r="A27" s="100" t="s">
        <v>126</v>
      </c>
      <c r="B27" s="102">
        <f>B26*B25</f>
        <v>1.1543792038855831E-2</v>
      </c>
      <c r="C27" s="3"/>
      <c r="D27" s="64"/>
      <c r="E27" s="64"/>
      <c r="F27" s="64"/>
      <c r="Q27" s="46">
        <f t="shared" si="4"/>
        <v>-0.93333333333333401</v>
      </c>
      <c r="R27" s="80">
        <f t="shared" si="0"/>
        <v>0.25807782590323747</v>
      </c>
      <c r="S27" s="80">
        <f t="shared" si="1"/>
        <v>0.17532394485222932</v>
      </c>
      <c r="V27" s="46">
        <f t="shared" si="5"/>
        <v>-4.3446088028004466</v>
      </c>
      <c r="W27" s="81">
        <f t="shared" si="2"/>
        <v>3.1777522494898202E-5</v>
      </c>
      <c r="Y27" s="46">
        <f t="shared" si="6"/>
        <v>4.3446088028004466</v>
      </c>
      <c r="Z27" s="81">
        <f t="shared" si="3"/>
        <v>3.1777522494898202E-5</v>
      </c>
    </row>
    <row r="28" spans="1:26" ht="14" customHeight="1" x14ac:dyDescent="0.2">
      <c r="A28" s="100" t="s">
        <v>127</v>
      </c>
      <c r="B28" s="102">
        <f>B21-B27</f>
        <v>0.16645620796114416</v>
      </c>
      <c r="C28" s="3"/>
      <c r="Q28" s="46">
        <f t="shared" si="4"/>
        <v>-0.80000000000000071</v>
      </c>
      <c r="R28" s="80">
        <f t="shared" si="0"/>
        <v>0.28969155276148256</v>
      </c>
      <c r="S28" s="80">
        <f t="shared" si="1"/>
        <v>0.21185539858339644</v>
      </c>
      <c r="V28" s="46">
        <f t="shared" si="5"/>
        <v>-4.359591794226553</v>
      </c>
      <c r="W28" s="81">
        <f t="shared" si="2"/>
        <v>2.9771504720646448E-5</v>
      </c>
      <c r="Y28" s="46">
        <f t="shared" si="6"/>
        <v>4.359591794226553</v>
      </c>
      <c r="Z28" s="81">
        <f t="shared" si="3"/>
        <v>2.9771504720646448E-5</v>
      </c>
    </row>
    <row r="29" spans="1:26" ht="14" customHeight="1" x14ac:dyDescent="0.2">
      <c r="A29" s="100" t="s">
        <v>128</v>
      </c>
      <c r="B29" s="102">
        <f>B21+B27</f>
        <v>0.18954379203885582</v>
      </c>
      <c r="C29" s="3"/>
      <c r="D29" s="65"/>
      <c r="E29" s="65"/>
      <c r="F29" s="65"/>
      <c r="Q29" s="46">
        <f t="shared" si="4"/>
        <v>-0.66666666666666741</v>
      </c>
      <c r="R29" s="80">
        <f t="shared" si="0"/>
        <v>0.31944800552235209</v>
      </c>
      <c r="S29" s="80">
        <f t="shared" si="1"/>
        <v>0.25249253754692264</v>
      </c>
      <c r="V29" s="46">
        <f t="shared" si="5"/>
        <v>-4.3745747856526593</v>
      </c>
      <c r="W29" s="81">
        <f t="shared" si="2"/>
        <v>2.7885859910925135E-5</v>
      </c>
      <c r="Y29" s="46">
        <f t="shared" si="6"/>
        <v>4.3745747856526593</v>
      </c>
      <c r="Z29" s="81">
        <f t="shared" si="3"/>
        <v>2.7885859910925135E-5</v>
      </c>
    </row>
    <row r="30" spans="1:26" ht="14" customHeight="1" x14ac:dyDescent="0.15">
      <c r="D30" s="65"/>
      <c r="E30" s="65"/>
      <c r="F30" s="65"/>
      <c r="Q30" s="46">
        <f t="shared" si="4"/>
        <v>-0.5333333333333341</v>
      </c>
      <c r="R30" s="80">
        <f t="shared" si="0"/>
        <v>0.34605389317692276</v>
      </c>
      <c r="S30" s="80">
        <f t="shared" si="1"/>
        <v>0.29690142860385094</v>
      </c>
      <c r="V30" s="46">
        <f t="shared" si="5"/>
        <v>-4.3895577770787657</v>
      </c>
      <c r="W30" s="81">
        <f t="shared" si="2"/>
        <v>2.6113783688643133E-5</v>
      </c>
      <c r="Y30" s="46">
        <f t="shared" si="6"/>
        <v>4.3895577770787657</v>
      </c>
      <c r="Z30" s="81">
        <f t="shared" si="3"/>
        <v>2.6113783688643133E-5</v>
      </c>
    </row>
    <row r="31" spans="1:26" ht="13" customHeight="1" x14ac:dyDescent="0.15">
      <c r="Q31" s="46">
        <f t="shared" si="4"/>
        <v>-0.4000000000000008</v>
      </c>
      <c r="R31" s="80">
        <f t="shared" si="0"/>
        <v>0.36827014030332322</v>
      </c>
      <c r="S31" s="80">
        <f t="shared" si="1"/>
        <v>0.34457825838967548</v>
      </c>
      <c r="V31" s="46">
        <f t="shared" si="5"/>
        <v>-4.4045407685048721</v>
      </c>
      <c r="W31" s="81">
        <f t="shared" si="2"/>
        <v>2.4448829316256507E-5</v>
      </c>
      <c r="Y31" s="46">
        <f t="shared" si="6"/>
        <v>4.4045407685048721</v>
      </c>
      <c r="Z31" s="81">
        <f t="shared" si="3"/>
        <v>2.4448829316256507E-5</v>
      </c>
    </row>
    <row r="32" spans="1:26" ht="13" customHeight="1" x14ac:dyDescent="0.15">
      <c r="Q32" s="46">
        <f t="shared" si="4"/>
        <v>-0.2666666666666675</v>
      </c>
      <c r="R32" s="80">
        <f t="shared" si="0"/>
        <v>0.3850068745960139</v>
      </c>
      <c r="S32" s="80">
        <f t="shared" si="1"/>
        <v>0.39486291046402483</v>
      </c>
      <c r="V32" s="46">
        <f t="shared" si="5"/>
        <v>-4.4195237599309785</v>
      </c>
      <c r="W32" s="81">
        <f t="shared" si="2"/>
        <v>2.2884890572356311E-5</v>
      </c>
      <c r="Y32" s="46">
        <f t="shared" si="6"/>
        <v>4.4195237599309785</v>
      </c>
      <c r="Z32" s="81">
        <f t="shared" si="3"/>
        <v>2.2884890572356311E-5</v>
      </c>
    </row>
    <row r="33" spans="17:26" ht="13" customHeight="1" x14ac:dyDescent="0.15">
      <c r="Q33" s="46">
        <f t="shared" si="4"/>
        <v>-0.13333333333333416</v>
      </c>
      <c r="R33" s="80">
        <f t="shared" si="0"/>
        <v>0.39541184088581766</v>
      </c>
      <c r="S33" s="80">
        <f t="shared" si="1"/>
        <v>0.44696488337638568</v>
      </c>
      <c r="V33" s="46">
        <f t="shared" si="5"/>
        <v>-4.4345067513570848</v>
      </c>
      <c r="W33" s="81">
        <f t="shared" si="2"/>
        <v>2.1416185348267475E-5</v>
      </c>
      <c r="Y33" s="46">
        <f t="shared" si="6"/>
        <v>4.4345067513570848</v>
      </c>
      <c r="Z33" s="81">
        <f t="shared" si="3"/>
        <v>2.1416185348267475E-5</v>
      </c>
    </row>
    <row r="34" spans="17:26" ht="13" customHeight="1" x14ac:dyDescent="0.15">
      <c r="Q34" s="46">
        <f t="shared" si="4"/>
        <v>-8.3266726846886741E-16</v>
      </c>
      <c r="R34" s="80">
        <f t="shared" si="0"/>
        <v>0.3989422804014327</v>
      </c>
      <c r="S34" s="80">
        <f t="shared" si="1"/>
        <v>0.49999999999999967</v>
      </c>
      <c r="T34">
        <v>0</v>
      </c>
      <c r="V34" s="46">
        <f t="shared" si="5"/>
        <v>-4.4494897427831912</v>
      </c>
      <c r="W34" s="81">
        <f t="shared" si="2"/>
        <v>2.0037239940135101E-5</v>
      </c>
      <c r="Y34" s="46">
        <f t="shared" si="6"/>
        <v>4.4494897427831912</v>
      </c>
      <c r="Z34" s="81">
        <f t="shared" si="3"/>
        <v>2.0037239940135101E-5</v>
      </c>
    </row>
    <row r="35" spans="17:26" ht="13" customHeight="1" x14ac:dyDescent="0.15">
      <c r="Q35" s="46">
        <f t="shared" si="4"/>
        <v>0.1333333333333325</v>
      </c>
      <c r="R35" s="80">
        <f t="shared" si="0"/>
        <v>0.39541184088581777</v>
      </c>
      <c r="S35" s="80">
        <f t="shared" si="1"/>
        <v>0.55303511662361371</v>
      </c>
      <c r="V35" s="46">
        <f t="shared" si="5"/>
        <v>-4.4644727342092976</v>
      </c>
      <c r="W35" s="81">
        <f t="shared" si="2"/>
        <v>1.874287401248213E-5</v>
      </c>
      <c r="Y35" s="46">
        <f t="shared" si="6"/>
        <v>4.4644727342092976</v>
      </c>
      <c r="Z35" s="81">
        <f t="shared" si="3"/>
        <v>1.874287401248213E-5</v>
      </c>
    </row>
    <row r="36" spans="17:26" ht="13" customHeight="1" x14ac:dyDescent="0.15">
      <c r="Q36" s="46">
        <f t="shared" si="4"/>
        <v>0.26666666666666583</v>
      </c>
      <c r="R36" s="80">
        <f t="shared" ref="R36:R64" si="7">_xlfn.NORM.DIST(Q36,0,1,FALSE)</f>
        <v>0.38500687459601407</v>
      </c>
      <c r="S36" s="80">
        <f t="shared" ref="S36:S64" si="8">_xlfn.NORM.DIST(Q36,0,1,TRUE)</f>
        <v>0.60513708953597456</v>
      </c>
      <c r="V36" s="46">
        <f t="shared" si="5"/>
        <v>-4.479455725635404</v>
      </c>
      <c r="W36" s="81">
        <f t="shared" ref="W36:W64" si="9">_xlfn.NORM.DIST(V36,0,1,FALSE)</f>
        <v>1.7528186209741517E-5</v>
      </c>
      <c r="Y36" s="46">
        <f t="shared" si="6"/>
        <v>4.479455725635404</v>
      </c>
      <c r="Z36" s="81">
        <f t="shared" ref="Z36:Z64" si="10">_xlfn.NORM.DIST(Y36,0,1,FALSE)</f>
        <v>1.7528186209741517E-5</v>
      </c>
    </row>
    <row r="37" spans="17:26" ht="13" customHeight="1" x14ac:dyDescent="0.15">
      <c r="Q37" s="46">
        <f t="shared" ref="Q37:Q64" si="11">8/60+Q36</f>
        <v>0.39999999999999913</v>
      </c>
      <c r="R37" s="80">
        <f t="shared" si="7"/>
        <v>0.36827014030332345</v>
      </c>
      <c r="S37" s="80">
        <f t="shared" si="8"/>
        <v>0.65542174161032385</v>
      </c>
      <c r="V37" s="46">
        <f t="shared" ref="V37:V64" si="12">($U$4-$V$4)/60+V36</f>
        <v>-4.4944387170615103</v>
      </c>
      <c r="W37" s="81">
        <f t="shared" si="9"/>
        <v>1.638854039279034E-5</v>
      </c>
      <c r="Y37" s="46">
        <f t="shared" ref="Y37:Y64" si="13">($X$4-$Y$4)/60+Y36</f>
        <v>4.4944387170615103</v>
      </c>
      <c r="Z37" s="81">
        <f t="shared" si="10"/>
        <v>1.638854039279034E-5</v>
      </c>
    </row>
    <row r="38" spans="17:26" ht="13" customHeight="1" x14ac:dyDescent="0.15">
      <c r="Q38" s="46">
        <f t="shared" si="11"/>
        <v>0.53333333333333244</v>
      </c>
      <c r="R38" s="80">
        <f t="shared" si="7"/>
        <v>0.34605389317692309</v>
      </c>
      <c r="S38" s="80">
        <f t="shared" si="8"/>
        <v>0.70309857139614851</v>
      </c>
      <c r="V38" s="46">
        <f t="shared" si="12"/>
        <v>-4.5094217084876167</v>
      </c>
      <c r="W38" s="81">
        <f t="shared" si="9"/>
        <v>1.5319552478044955E-5</v>
      </c>
      <c r="Y38" s="46">
        <f t="shared" si="13"/>
        <v>4.5094217084876167</v>
      </c>
      <c r="Z38" s="81">
        <f t="shared" si="10"/>
        <v>1.5319552478044955E-5</v>
      </c>
    </row>
    <row r="39" spans="17:26" ht="13" customHeight="1" x14ac:dyDescent="0.15">
      <c r="Q39" s="46">
        <f t="shared" si="11"/>
        <v>0.66666666666666574</v>
      </c>
      <c r="R39" s="80">
        <f t="shared" si="7"/>
        <v>0.31944800552235242</v>
      </c>
      <c r="S39" s="80">
        <f t="shared" si="8"/>
        <v>0.74750746245307687</v>
      </c>
      <c r="V39" s="46">
        <f t="shared" si="12"/>
        <v>-4.5244046999137231</v>
      </c>
      <c r="W39" s="81">
        <f t="shared" si="9"/>
        <v>1.4317077857213341E-5</v>
      </c>
      <c r="Y39" s="46">
        <f t="shared" si="13"/>
        <v>4.5244046999137231</v>
      </c>
      <c r="Z39" s="81">
        <f t="shared" si="10"/>
        <v>1.4317077857213341E-5</v>
      </c>
    </row>
    <row r="40" spans="17:26" ht="13" customHeight="1" x14ac:dyDescent="0.15">
      <c r="Q40" s="46">
        <f t="shared" si="11"/>
        <v>0.79999999999999905</v>
      </c>
      <c r="R40" s="80">
        <f t="shared" si="7"/>
        <v>0.28969155276148301</v>
      </c>
      <c r="S40" s="80">
        <f t="shared" si="8"/>
        <v>0.78814460141660292</v>
      </c>
      <c r="V40" s="46">
        <f t="shared" si="12"/>
        <v>-4.5393876913398294</v>
      </c>
      <c r="W40" s="81">
        <f t="shared" si="9"/>
        <v>1.3377199376338697E-5</v>
      </c>
      <c r="Y40" s="46">
        <f t="shared" si="13"/>
        <v>4.5393876913398294</v>
      </c>
      <c r="Z40" s="81">
        <f t="shared" si="10"/>
        <v>1.3377199376338697E-5</v>
      </c>
    </row>
    <row r="41" spans="17:26" ht="13" customHeight="1" x14ac:dyDescent="0.15">
      <c r="Q41" s="46">
        <f t="shared" si="11"/>
        <v>0.93333333333333235</v>
      </c>
      <c r="R41" s="80">
        <f t="shared" si="7"/>
        <v>0.25807782590323791</v>
      </c>
      <c r="S41" s="80">
        <f t="shared" si="8"/>
        <v>0.8246760551477702</v>
      </c>
      <c r="V41" s="46">
        <f t="shared" si="12"/>
        <v>-4.5543706827659358</v>
      </c>
      <c r="W41" s="81">
        <f t="shared" si="9"/>
        <v>1.2496215853311486E-5</v>
      </c>
      <c r="Y41" s="46">
        <f t="shared" si="13"/>
        <v>4.5543706827659358</v>
      </c>
      <c r="Z41" s="81">
        <f t="shared" si="10"/>
        <v>1.2496215853311486E-5</v>
      </c>
    </row>
    <row r="42" spans="17:26" ht="13" customHeight="1" x14ac:dyDescent="0.15">
      <c r="Q42" s="46">
        <f t="shared" si="11"/>
        <v>1.0666666666666658</v>
      </c>
      <c r="R42" s="80">
        <f t="shared" si="7"/>
        <v>0.22586282746712472</v>
      </c>
      <c r="S42" s="80">
        <f t="shared" si="8"/>
        <v>0.85693880780449083</v>
      </c>
      <c r="T42">
        <v>1</v>
      </c>
      <c r="V42" s="46">
        <f t="shared" si="12"/>
        <v>-4.5693536741920422</v>
      </c>
      <c r="W42" s="81">
        <f t="shared" si="9"/>
        <v>1.1670631113567904E-5</v>
      </c>
      <c r="Y42" s="46">
        <f t="shared" si="13"/>
        <v>4.5693536741920422</v>
      </c>
      <c r="Z42" s="81">
        <f t="shared" si="10"/>
        <v>1.1670631113567904E-5</v>
      </c>
    </row>
    <row r="43" spans="17:26" ht="13" customHeight="1" x14ac:dyDescent="0.15">
      <c r="Q43" s="46">
        <f t="shared" si="11"/>
        <v>1.1999999999999991</v>
      </c>
      <c r="R43" s="80">
        <f t="shared" si="7"/>
        <v>0.19418605498321317</v>
      </c>
      <c r="S43" s="80">
        <f t="shared" si="8"/>
        <v>0.88493032977829156</v>
      </c>
      <c r="V43" s="46">
        <f t="shared" si="12"/>
        <v>-4.5843366656181486</v>
      </c>
      <c r="W43" s="81">
        <f t="shared" si="9"/>
        <v>1.0897143524235822E-5</v>
      </c>
      <c r="Y43" s="46">
        <f t="shared" si="13"/>
        <v>4.5843366656181486</v>
      </c>
      <c r="Z43" s="81">
        <f t="shared" si="10"/>
        <v>1.0897143524235822E-5</v>
      </c>
    </row>
    <row r="44" spans="17:26" ht="13" customHeight="1" x14ac:dyDescent="0.15">
      <c r="Q44" s="46">
        <f t="shared" si="11"/>
        <v>1.3333333333333324</v>
      </c>
      <c r="R44" s="80">
        <f t="shared" si="7"/>
        <v>0.16401007467599382</v>
      </c>
      <c r="S44" s="80">
        <f t="shared" si="8"/>
        <v>0.90878878027413201</v>
      </c>
      <c r="V44" s="46">
        <f t="shared" si="12"/>
        <v>-4.5993196570442549</v>
      </c>
      <c r="W44" s="81">
        <f t="shared" si="9"/>
        <v>1.0172636007529737E-5</v>
      </c>
      <c r="Y44" s="46">
        <f t="shared" si="13"/>
        <v>4.5993196570442549</v>
      </c>
      <c r="Z44" s="81">
        <f t="shared" si="10"/>
        <v>1.0172636007529737E-5</v>
      </c>
    </row>
    <row r="45" spans="17:26" ht="13" customHeight="1" x14ac:dyDescent="0.15">
      <c r="Q45" s="46">
        <f t="shared" si="11"/>
        <v>1.4666666666666657</v>
      </c>
      <c r="R45" s="80">
        <f t="shared" si="7"/>
        <v>0.13608248241227827</v>
      </c>
      <c r="S45" s="80">
        <f t="shared" si="8"/>
        <v>0.92876662258601383</v>
      </c>
      <c r="V45" s="46">
        <f t="shared" si="12"/>
        <v>-4.6143026484703613</v>
      </c>
      <c r="W45" s="81">
        <f t="shared" si="9"/>
        <v>9.4941665147342039E-6</v>
      </c>
      <c r="Y45" s="46">
        <f t="shared" si="13"/>
        <v>4.6143026484703613</v>
      </c>
      <c r="Z45" s="81">
        <f t="shared" si="10"/>
        <v>9.4941665147342039E-6</v>
      </c>
    </row>
    <row r="46" spans="17:26" ht="13" customHeight="1" x14ac:dyDescent="0.15">
      <c r="Q46" s="46">
        <f t="shared" si="11"/>
        <v>1.599999999999999</v>
      </c>
      <c r="R46" s="80">
        <f t="shared" si="7"/>
        <v>0.11092083467945574</v>
      </c>
      <c r="S46" s="80">
        <f t="shared" si="8"/>
        <v>0.94520070830044189</v>
      </c>
      <c r="V46" s="46">
        <f t="shared" si="12"/>
        <v>-4.6292856398964677</v>
      </c>
      <c r="W46" s="81">
        <f t="shared" si="9"/>
        <v>8.858958942651086E-6</v>
      </c>
      <c r="Y46" s="46">
        <f t="shared" si="13"/>
        <v>4.6292856398964677</v>
      </c>
      <c r="Z46" s="81">
        <f t="shared" si="10"/>
        <v>8.858958942651086E-6</v>
      </c>
    </row>
    <row r="47" spans="17:26" ht="13" customHeight="1" x14ac:dyDescent="0.15">
      <c r="Q47" s="46">
        <f t="shared" si="11"/>
        <v>1.7333333333333323</v>
      </c>
      <c r="R47" s="80">
        <f t="shared" si="7"/>
        <v>8.8818461090592035E-2</v>
      </c>
      <c r="S47" s="80">
        <f t="shared" si="8"/>
        <v>0.95848178031122078</v>
      </c>
      <c r="V47" s="46">
        <f t="shared" si="12"/>
        <v>-4.6442686313225741</v>
      </c>
      <c r="W47" s="81">
        <f t="shared" si="9"/>
        <v>8.2643944749170471E-6</v>
      </c>
      <c r="Y47" s="46">
        <f t="shared" si="13"/>
        <v>4.6442686313225741</v>
      </c>
      <c r="Z47" s="81">
        <f t="shared" si="10"/>
        <v>8.2643944749170471E-6</v>
      </c>
    </row>
    <row r="48" spans="17:26" ht="13" customHeight="1" x14ac:dyDescent="0.15">
      <c r="Q48" s="46">
        <f t="shared" si="11"/>
        <v>1.8666666666666656</v>
      </c>
      <c r="R48" s="80">
        <f t="shared" si="7"/>
        <v>6.9867076070915329E-2</v>
      </c>
      <c r="S48" s="80">
        <f t="shared" si="8"/>
        <v>0.96902592429325929</v>
      </c>
      <c r="V48" s="46">
        <f t="shared" si="12"/>
        <v>-4.6592516227486804</v>
      </c>
      <c r="W48" s="81">
        <f t="shared" si="9"/>
        <v>7.7080033311237287E-6</v>
      </c>
      <c r="Y48" s="46">
        <f t="shared" si="13"/>
        <v>4.6592516227486804</v>
      </c>
      <c r="Z48" s="81">
        <f t="shared" si="10"/>
        <v>7.7080033311237287E-6</v>
      </c>
    </row>
    <row r="49" spans="1:26" ht="13" customHeight="1" x14ac:dyDescent="0.15">
      <c r="Q49" s="46">
        <f t="shared" si="11"/>
        <v>1.9999999999999989</v>
      </c>
      <c r="R49" s="80">
        <f t="shared" si="7"/>
        <v>5.3990966513188167E-2</v>
      </c>
      <c r="S49" s="80">
        <f t="shared" si="8"/>
        <v>0.97724986805182068</v>
      </c>
      <c r="T49">
        <v>2</v>
      </c>
      <c r="V49" s="46">
        <f t="shared" si="12"/>
        <v>-4.6742346141747868</v>
      </c>
      <c r="W49" s="81">
        <f t="shared" si="9"/>
        <v>7.1874569071945879E-6</v>
      </c>
      <c r="Y49" s="46">
        <f t="shared" si="13"/>
        <v>4.6742346141747868</v>
      </c>
      <c r="Z49" s="81">
        <f t="shared" si="10"/>
        <v>7.1874569071945879E-6</v>
      </c>
    </row>
    <row r="50" spans="1:26" ht="13" customHeight="1" x14ac:dyDescent="0.15">
      <c r="Q50" s="46">
        <f t="shared" si="11"/>
        <v>2.1333333333333324</v>
      </c>
      <c r="R50" s="80">
        <f t="shared" si="7"/>
        <v>4.098725604522227E-2</v>
      </c>
      <c r="S50" s="80">
        <f t="shared" si="8"/>
        <v>0.98355130417725467</v>
      </c>
      <c r="V50" s="46">
        <f t="shared" si="12"/>
        <v>-4.6892176056008932</v>
      </c>
      <c r="W50" s="81">
        <f t="shared" si="9"/>
        <v>6.7005602909867693E-6</v>
      </c>
      <c r="Y50" s="46">
        <f t="shared" si="13"/>
        <v>4.6892176056008932</v>
      </c>
      <c r="Z50" s="81">
        <f t="shared" si="10"/>
        <v>6.7005602909867693E-6</v>
      </c>
    </row>
    <row r="51" spans="1:26" ht="13" customHeight="1" x14ac:dyDescent="0.15">
      <c r="Q51" s="46">
        <f t="shared" si="11"/>
        <v>2.2666666666666657</v>
      </c>
      <c r="R51" s="80">
        <f t="shared" si="7"/>
        <v>3.0567209727885538E-2</v>
      </c>
      <c r="S51" s="80">
        <f t="shared" si="8"/>
        <v>0.98829470191944169</v>
      </c>
      <c r="V51" s="46">
        <f t="shared" si="12"/>
        <v>-4.7042005970269996</v>
      </c>
      <c r="W51" s="81">
        <f t="shared" si="9"/>
        <v>6.245245137594577E-6</v>
      </c>
      <c r="Y51" s="46">
        <f t="shared" si="13"/>
        <v>4.7042005970269996</v>
      </c>
      <c r="Z51" s="81">
        <f t="shared" si="10"/>
        <v>6.245245137594577E-6</v>
      </c>
    </row>
    <row r="52" spans="1:26" ht="13" customHeight="1" x14ac:dyDescent="0.15">
      <c r="Q52" s="46">
        <f t="shared" si="11"/>
        <v>2.399999999999999</v>
      </c>
      <c r="R52" s="80">
        <f t="shared" si="7"/>
        <v>2.2394530294842948E-2</v>
      </c>
      <c r="S52" s="80">
        <f t="shared" si="8"/>
        <v>0.99180246407540384</v>
      </c>
      <c r="V52" s="46">
        <f t="shared" si="12"/>
        <v>-4.7191835884531059</v>
      </c>
      <c r="W52" s="81">
        <f t="shared" si="9"/>
        <v>5.8195628893318723E-6</v>
      </c>
      <c r="Y52" s="46">
        <f t="shared" si="13"/>
        <v>4.7191835884531059</v>
      </c>
      <c r="Z52" s="81">
        <f t="shared" si="10"/>
        <v>5.8195628893318723E-6</v>
      </c>
    </row>
    <row r="53" spans="1:26" ht="13" customHeight="1" x14ac:dyDescent="0.15">
      <c r="Q53" s="46">
        <f t="shared" si="11"/>
        <v>2.5333333333333323</v>
      </c>
      <c r="R53" s="80">
        <f t="shared" si="7"/>
        <v>1.6117858113649026E-2</v>
      </c>
      <c r="S53" s="80">
        <f t="shared" si="8"/>
        <v>0.99435082724443935</v>
      </c>
      <c r="V53" s="46">
        <f t="shared" si="12"/>
        <v>-4.7341665798792123</v>
      </c>
      <c r="W53" s="81">
        <f t="shared" si="9"/>
        <v>5.4216783258637239E-6</v>
      </c>
      <c r="Y53" s="46">
        <f t="shared" si="13"/>
        <v>4.7341665798792123</v>
      </c>
      <c r="Z53" s="81">
        <f t="shared" si="10"/>
        <v>5.4216783258637239E-6</v>
      </c>
    </row>
    <row r="54" spans="1:26" ht="13" customHeight="1" x14ac:dyDescent="0.15">
      <c r="Q54" s="46">
        <f t="shared" si="11"/>
        <v>2.6666666666666656</v>
      </c>
      <c r="R54" s="80">
        <f t="shared" si="7"/>
        <v>1.1395986023797473E-2</v>
      </c>
      <c r="S54" s="80">
        <f t="shared" si="8"/>
        <v>0.99616961943241022</v>
      </c>
      <c r="V54" s="46">
        <f t="shared" si="12"/>
        <v>-4.7491495713053187</v>
      </c>
      <c r="W54" s="81">
        <f t="shared" si="9"/>
        <v>5.049863430442503E-6</v>
      </c>
      <c r="Y54" s="46">
        <f t="shared" si="13"/>
        <v>4.7491495713053187</v>
      </c>
      <c r="Z54" s="81">
        <f t="shared" si="10"/>
        <v>5.049863430442503E-6</v>
      </c>
    </row>
    <row r="55" spans="1:26" ht="13" customHeight="1" x14ac:dyDescent="0.15">
      <c r="Q55" s="46">
        <f t="shared" si="11"/>
        <v>2.7999999999999989</v>
      </c>
      <c r="R55" s="80">
        <f t="shared" si="7"/>
        <v>7.9154515829799894E-3</v>
      </c>
      <c r="S55" s="80">
        <f t="shared" si="8"/>
        <v>0.99744486966957202</v>
      </c>
      <c r="V55" s="46">
        <f t="shared" si="12"/>
        <v>-4.764132562731425</v>
      </c>
      <c r="W55" s="81">
        <f t="shared" si="9"/>
        <v>4.7024915586796401E-6</v>
      </c>
      <c r="Y55" s="46">
        <f t="shared" si="13"/>
        <v>4.764132562731425</v>
      </c>
      <c r="Z55" s="81">
        <f t="shared" si="10"/>
        <v>4.7024915586796401E-6</v>
      </c>
    </row>
    <row r="56" spans="1:26" ht="13" customHeight="1" x14ac:dyDescent="0.15">
      <c r="Q56" s="46">
        <f t="shared" si="11"/>
        <v>2.9333333333333322</v>
      </c>
      <c r="R56" s="80">
        <f t="shared" si="7"/>
        <v>5.401056181194395E-3</v>
      </c>
      <c r="S56" s="80">
        <f t="shared" si="8"/>
        <v>0.99832328177252683</v>
      </c>
      <c r="V56" s="46">
        <f t="shared" si="12"/>
        <v>-4.7791155541575314</v>
      </c>
      <c r="W56" s="81">
        <f t="shared" si="9"/>
        <v>4.3780318967519009E-6</v>
      </c>
      <c r="Y56" s="46">
        <f t="shared" si="13"/>
        <v>4.7791155541575314</v>
      </c>
      <c r="Z56" s="81">
        <f t="shared" si="10"/>
        <v>4.3780318967519009E-6</v>
      </c>
    </row>
    <row r="57" spans="1:26" ht="13" customHeight="1" x14ac:dyDescent="0.15">
      <c r="Q57" s="46">
        <f t="shared" si="11"/>
        <v>3.0666666666666655</v>
      </c>
      <c r="R57" s="80">
        <f t="shared" si="7"/>
        <v>3.6204362280192995E-3</v>
      </c>
      <c r="S57" s="80">
        <f t="shared" si="8"/>
        <v>0.99891769951860676</v>
      </c>
      <c r="T57">
        <v>3</v>
      </c>
      <c r="V57" s="46">
        <f t="shared" si="12"/>
        <v>-4.7940985455836378</v>
      </c>
      <c r="W57" s="81">
        <f t="shared" si="9"/>
        <v>4.0750441963987058E-6</v>
      </c>
      <c r="Y57" s="46">
        <f t="shared" si="13"/>
        <v>4.7940985455836378</v>
      </c>
      <c r="Z57" s="81">
        <f t="shared" si="10"/>
        <v>4.0750441963987058E-6</v>
      </c>
    </row>
    <row r="58" spans="1:26" ht="13" customHeight="1" x14ac:dyDescent="0.2">
      <c r="A58" s="1"/>
      <c r="Q58" s="46">
        <f t="shared" si="11"/>
        <v>3.1999999999999988</v>
      </c>
      <c r="R58" s="80">
        <f t="shared" si="7"/>
        <v>2.3840882014648512E-3</v>
      </c>
      <c r="S58" s="80">
        <f t="shared" si="8"/>
        <v>0.99931286206208414</v>
      </c>
      <c r="V58" s="46">
        <f t="shared" si="12"/>
        <v>-4.8090815370097442</v>
      </c>
      <c r="W58" s="81">
        <f t="shared" si="9"/>
        <v>3.7921737745158573E-6</v>
      </c>
      <c r="Y58" s="46">
        <f t="shared" si="13"/>
        <v>4.8090815370097442</v>
      </c>
      <c r="Z58" s="81">
        <f t="shared" si="10"/>
        <v>3.7921737745158573E-6</v>
      </c>
    </row>
    <row r="59" spans="1:26" ht="13" customHeight="1" x14ac:dyDescent="0.15">
      <c r="A59" s="77"/>
      <c r="B59" s="63"/>
      <c r="Q59" s="46">
        <f t="shared" si="11"/>
        <v>3.3333333333333321</v>
      </c>
      <c r="R59" s="80">
        <f t="shared" si="7"/>
        <v>1.5422789962911121E-3</v>
      </c>
      <c r="S59" s="80">
        <f t="shared" si="8"/>
        <v>0.99957093966680322</v>
      </c>
      <c r="V59" s="46">
        <f t="shared" si="12"/>
        <v>-4.8240645284358505</v>
      </c>
      <c r="W59" s="81">
        <f t="shared" si="9"/>
        <v>3.5281467655896377E-6</v>
      </c>
      <c r="Y59" s="46">
        <f t="shared" si="13"/>
        <v>4.8240645284358505</v>
      </c>
      <c r="Z59" s="81">
        <f t="shared" si="10"/>
        <v>3.5281467655896377E-6</v>
      </c>
    </row>
    <row r="60" spans="1:26" ht="13" customHeight="1" x14ac:dyDescent="0.15">
      <c r="A60" s="77"/>
      <c r="B60" s="63"/>
      <c r="Q60" s="46">
        <f t="shared" si="11"/>
        <v>3.4666666666666655</v>
      </c>
      <c r="R60" s="80">
        <f t="shared" si="7"/>
        <v>9.8012796127537626E-4</v>
      </c>
      <c r="S60" s="80">
        <f t="shared" si="8"/>
        <v>0.9997365225344047</v>
      </c>
      <c r="V60" s="46">
        <f t="shared" si="12"/>
        <v>-4.8390475198619569</v>
      </c>
      <c r="W60" s="81">
        <f t="shared" si="9"/>
        <v>3.2817656156444374E-6</v>
      </c>
      <c r="Y60" s="46">
        <f t="shared" si="13"/>
        <v>4.8390475198619569</v>
      </c>
      <c r="Z60" s="81">
        <f t="shared" si="10"/>
        <v>3.2817656156444374E-6</v>
      </c>
    </row>
    <row r="61" spans="1:26" ht="13" customHeight="1" x14ac:dyDescent="0.15">
      <c r="A61" s="77"/>
      <c r="B61" s="63"/>
      <c r="Q61" s="46">
        <f t="shared" si="11"/>
        <v>3.5999999999999988</v>
      </c>
      <c r="R61" s="80">
        <f t="shared" si="7"/>
        <v>6.1190193011377515E-4</v>
      </c>
      <c r="S61" s="80">
        <f t="shared" si="8"/>
        <v>0.99984089140984245</v>
      </c>
      <c r="V61" s="46">
        <f t="shared" si="12"/>
        <v>-4.8540305112880633</v>
      </c>
      <c r="W61" s="81">
        <f t="shared" si="9"/>
        <v>3.0519048067957212E-6</v>
      </c>
      <c r="Y61" s="46">
        <f t="shared" si="13"/>
        <v>4.8540305112880633</v>
      </c>
      <c r="Z61" s="81">
        <f t="shared" si="10"/>
        <v>3.0519048067957212E-6</v>
      </c>
    </row>
    <row r="62" spans="1:26" ht="13" customHeight="1" x14ac:dyDescent="0.15">
      <c r="A62" s="77"/>
      <c r="B62" s="63"/>
      <c r="Q62" s="46">
        <f t="shared" si="11"/>
        <v>3.7333333333333321</v>
      </c>
      <c r="R62" s="80">
        <f t="shared" si="7"/>
        <v>3.7528402371763201E-4</v>
      </c>
      <c r="S62" s="80">
        <f t="shared" si="8"/>
        <v>0.99990551887519563</v>
      </c>
      <c r="V62" s="46">
        <f t="shared" si="12"/>
        <v>-4.8690135027141697</v>
      </c>
      <c r="W62" s="81">
        <f t="shared" si="9"/>
        <v>2.8375068019088684E-6</v>
      </c>
      <c r="Y62" s="46">
        <f t="shared" si="13"/>
        <v>4.8690135027141697</v>
      </c>
      <c r="Z62" s="81">
        <f t="shared" si="10"/>
        <v>2.8375068019088684E-6</v>
      </c>
    </row>
    <row r="63" spans="1:26" ht="13" customHeight="1" x14ac:dyDescent="0.15">
      <c r="A63" s="77"/>
      <c r="B63" s="65"/>
      <c r="Q63" s="46">
        <f t="shared" si="11"/>
        <v>3.8666666666666654</v>
      </c>
      <c r="R63" s="80">
        <f t="shared" si="7"/>
        <v>2.2610883840368568E-4</v>
      </c>
      <c r="S63" s="80">
        <f t="shared" si="8"/>
        <v>0.99994483346497276</v>
      </c>
      <c r="V63" s="46">
        <f t="shared" si="12"/>
        <v>-4.883996494140276</v>
      </c>
      <c r="W63" s="81">
        <f t="shared" si="9"/>
        <v>2.637578199263045E-6</v>
      </c>
      <c r="Y63" s="46">
        <f t="shared" si="13"/>
        <v>4.883996494140276</v>
      </c>
      <c r="Z63" s="81">
        <f t="shared" si="10"/>
        <v>2.637578199263045E-6</v>
      </c>
    </row>
    <row r="64" spans="1:26" ht="13" customHeight="1" x14ac:dyDescent="0.15">
      <c r="A64" s="77"/>
      <c r="B64" s="65"/>
      <c r="Q64" s="46">
        <f t="shared" si="11"/>
        <v>3.9999999999999987</v>
      </c>
      <c r="R64" s="80">
        <f t="shared" si="7"/>
        <v>1.3383022576488607E-4</v>
      </c>
      <c r="S64" s="80">
        <f t="shared" si="8"/>
        <v>0.99996832875816688</v>
      </c>
      <c r="T64">
        <v>4</v>
      </c>
      <c r="V64" s="46">
        <f t="shared" si="12"/>
        <v>-4.8989794855663824</v>
      </c>
      <c r="W64" s="81">
        <f t="shared" si="9"/>
        <v>2.4511860875070957E-6</v>
      </c>
      <c r="Y64" s="46">
        <f t="shared" si="13"/>
        <v>4.8989794855663824</v>
      </c>
      <c r="Z64" s="81">
        <f t="shared" si="10"/>
        <v>2.4511860875070957E-6</v>
      </c>
    </row>
    <row r="65" spans="1:19" ht="13" customHeight="1" x14ac:dyDescent="0.15">
      <c r="A65" s="77"/>
      <c r="B65" s="65"/>
    </row>
    <row r="66" spans="1:19" ht="13" customHeight="1" x14ac:dyDescent="0.15">
      <c r="A66" s="77"/>
    </row>
    <row r="67" spans="1:19" ht="13" customHeight="1" x14ac:dyDescent="0.15">
      <c r="A67" s="77"/>
      <c r="B67" s="64"/>
    </row>
    <row r="68" spans="1:19" ht="13" customHeight="1" x14ac:dyDescent="0.15">
      <c r="A68" s="77"/>
      <c r="Q68" s="78" t="s">
        <v>15</v>
      </c>
      <c r="S68" s="78" t="s">
        <v>103</v>
      </c>
    </row>
    <row r="69" spans="1:19" ht="13" customHeight="1" x14ac:dyDescent="0.15">
      <c r="A69" s="77"/>
      <c r="B69" s="65"/>
      <c r="Q69" t="e">
        <f>zmin</f>
        <v>#REF!</v>
      </c>
    </row>
    <row r="70" spans="1:19" ht="13" customHeight="1" x14ac:dyDescent="0.15">
      <c r="A70" s="77"/>
      <c r="B70" s="65"/>
    </row>
    <row r="71" spans="1:19" ht="13" customHeight="1" x14ac:dyDescent="0.15"/>
    <row r="72" spans="1:19" ht="13" customHeight="1" x14ac:dyDescent="0.15"/>
    <row r="73" spans="1:19" ht="13" customHeight="1" x14ac:dyDescent="0.15"/>
    <row r="74" spans="1:19" ht="13" customHeight="1" x14ac:dyDescent="0.15"/>
    <row r="75" spans="1:19" ht="13" customHeight="1" x14ac:dyDescent="0.15"/>
    <row r="76" spans="1:19" ht="13" customHeight="1" x14ac:dyDescent="0.15"/>
    <row r="77" spans="1:19" ht="13" customHeight="1" x14ac:dyDescent="0.15"/>
    <row r="78" spans="1:19" ht="13" customHeight="1" x14ac:dyDescent="0.15"/>
    <row r="79" spans="1:19" ht="13" customHeight="1" x14ac:dyDescent="0.15"/>
    <row r="80" spans="1:19" ht="13" customHeight="1" x14ac:dyDescent="0.15"/>
    <row r="81" ht="13" customHeight="1" x14ac:dyDescent="0.15"/>
    <row r="82" ht="13" customHeight="1" x14ac:dyDescent="0.15"/>
    <row r="83" ht="13" customHeight="1" x14ac:dyDescent="0.15"/>
    <row r="84" ht="13" customHeight="1" x14ac:dyDescent="0.15"/>
    <row r="85" ht="13" customHeight="1" x14ac:dyDescent="0.15"/>
    <row r="86" ht="13" customHeight="1" x14ac:dyDescent="0.15"/>
    <row r="87" ht="13" customHeight="1" x14ac:dyDescent="0.15"/>
    <row r="88" ht="13" customHeight="1" x14ac:dyDescent="0.15"/>
    <row r="89" ht="13" customHeight="1" x14ac:dyDescent="0.15"/>
    <row r="90" ht="13" customHeight="1" x14ac:dyDescent="0.15"/>
    <row r="91" ht="13" customHeight="1" x14ac:dyDescent="0.15"/>
    <row r="92" ht="13" customHeight="1" x14ac:dyDescent="0.15"/>
    <row r="93" ht="13" customHeight="1" x14ac:dyDescent="0.15"/>
    <row r="94" ht="13" customHeight="1" x14ac:dyDescent="0.15"/>
    <row r="95" ht="13" customHeight="1" x14ac:dyDescent="0.15"/>
    <row r="96" ht="13" customHeight="1" x14ac:dyDescent="0.15"/>
    <row r="97" ht="13" customHeight="1" x14ac:dyDescent="0.15"/>
    <row r="98" ht="13" customHeight="1" x14ac:dyDescent="0.15"/>
    <row r="99" ht="13" customHeight="1" x14ac:dyDescent="0.15"/>
    <row r="100" ht="13" customHeight="1" x14ac:dyDescent="0.15"/>
    <row r="101" ht="13" customHeight="1" x14ac:dyDescent="0.15"/>
    <row r="102" ht="13" customHeight="1" x14ac:dyDescent="0.15"/>
    <row r="103" ht="13" customHeight="1" x14ac:dyDescent="0.15"/>
    <row r="104" ht="13" customHeight="1" x14ac:dyDescent="0.15"/>
    <row r="105" ht="13" customHeight="1" x14ac:dyDescent="0.15"/>
    <row r="106" ht="13" customHeight="1" x14ac:dyDescent="0.15"/>
    <row r="107" ht="13" customHeight="1" x14ac:dyDescent="0.15"/>
    <row r="108" ht="13" customHeight="1" x14ac:dyDescent="0.15"/>
    <row r="109" ht="13" customHeight="1" x14ac:dyDescent="0.15"/>
    <row r="110" ht="13" customHeight="1" x14ac:dyDescent="0.15"/>
    <row r="111" ht="13" customHeight="1" x14ac:dyDescent="0.15"/>
    <row r="112" ht="13" customHeight="1" x14ac:dyDescent="0.15"/>
    <row r="113" ht="13" customHeight="1" x14ac:dyDescent="0.15"/>
    <row r="114" ht="13" customHeight="1" x14ac:dyDescent="0.15"/>
    <row r="115" ht="13" customHeight="1" x14ac:dyDescent="0.15"/>
    <row r="116" ht="13" customHeight="1" x14ac:dyDescent="0.15"/>
    <row r="117" ht="13" customHeight="1" x14ac:dyDescent="0.15"/>
    <row r="118" ht="13" customHeight="1" x14ac:dyDescent="0.15"/>
    <row r="119" ht="13" customHeight="1" x14ac:dyDescent="0.15"/>
    <row r="120" ht="13" customHeight="1" x14ac:dyDescent="0.15"/>
    <row r="121" ht="13" customHeight="1" x14ac:dyDescent="0.15"/>
    <row r="122" ht="13" customHeight="1" x14ac:dyDescent="0.15"/>
    <row r="123" ht="13" customHeight="1" x14ac:dyDescent="0.15"/>
    <row r="124" ht="13" customHeight="1" x14ac:dyDescent="0.15"/>
    <row r="125" ht="13" customHeight="1" x14ac:dyDescent="0.15"/>
    <row r="126" ht="13" customHeight="1" x14ac:dyDescent="0.15"/>
    <row r="127" ht="13" customHeight="1" x14ac:dyDescent="0.15"/>
    <row r="128" ht="13" customHeight="1" x14ac:dyDescent="0.15"/>
    <row r="129" spans="17:19" ht="13" customHeight="1" x14ac:dyDescent="0.15"/>
    <row r="130" spans="17:19" ht="13" customHeight="1" x14ac:dyDescent="0.15"/>
    <row r="131" spans="17:19" ht="13" customHeight="1" x14ac:dyDescent="0.15"/>
    <row r="132" spans="17:19" ht="13" customHeight="1" x14ac:dyDescent="0.15">
      <c r="Q132" s="78" t="s">
        <v>15</v>
      </c>
      <c r="R132" s="78" t="s">
        <v>102</v>
      </c>
      <c r="S132" s="78" t="s">
        <v>103</v>
      </c>
    </row>
    <row r="133" spans="17:19" ht="13" customHeight="1" x14ac:dyDescent="0.15">
      <c r="Q133" t="e">
        <f>zmax</f>
        <v>#REF!</v>
      </c>
      <c r="R133" s="82" t="e">
        <f>_xlfn.NORM.DIST(#REF!,Mean,StdDev,FALSE)</f>
        <v>#REF!</v>
      </c>
    </row>
    <row r="134" spans="17:19" ht="13" customHeight="1" x14ac:dyDescent="0.15">
      <c r="R134" s="82" t="e">
        <f>_xlfn.NORM.DIST(#REF!,Mean,StdDev,FALSE)</f>
        <v>#REF!</v>
      </c>
    </row>
    <row r="135" spans="17:19" ht="13" customHeight="1" x14ac:dyDescent="0.15">
      <c r="R135" s="82" t="e">
        <f>_xlfn.NORM.DIST(#REF!,Mean,StdDev,FALSE)</f>
        <v>#REF!</v>
      </c>
    </row>
    <row r="136" spans="17:19" ht="13" customHeight="1" x14ac:dyDescent="0.15">
      <c r="R136" s="82" t="e">
        <f>_xlfn.NORM.DIST(#REF!,Mean,StdDev,FALSE)</f>
        <v>#REF!</v>
      </c>
    </row>
    <row r="137" spans="17:19" ht="13" customHeight="1" x14ac:dyDescent="0.15">
      <c r="R137" s="82" t="e">
        <f>_xlfn.NORM.DIST(#REF!,Mean,StdDev,FALSE)</f>
        <v>#REF!</v>
      </c>
    </row>
    <row r="138" spans="17:19" ht="13" customHeight="1" x14ac:dyDescent="0.15">
      <c r="R138" s="82" t="e">
        <f>_xlfn.NORM.DIST(#REF!,Mean,StdDev,FALSE)</f>
        <v>#REF!</v>
      </c>
    </row>
    <row r="139" spans="17:19" ht="13" customHeight="1" x14ac:dyDescent="0.15">
      <c r="R139" s="82" t="e">
        <f>_xlfn.NORM.DIST(#REF!,Mean,StdDev,FALSE)</f>
        <v>#REF!</v>
      </c>
    </row>
    <row r="140" spans="17:19" ht="13" customHeight="1" x14ac:dyDescent="0.15">
      <c r="R140" s="82" t="e">
        <f>_xlfn.NORM.DIST(#REF!,Mean,StdDev,FALSE)</f>
        <v>#REF!</v>
      </c>
    </row>
    <row r="141" spans="17:19" ht="13" customHeight="1" x14ac:dyDescent="0.15">
      <c r="R141" s="82" t="e">
        <f>_xlfn.NORM.DIST(#REF!,Mean,StdDev,FALSE)</f>
        <v>#REF!</v>
      </c>
    </row>
    <row r="142" spans="17:19" ht="13" customHeight="1" x14ac:dyDescent="0.15">
      <c r="R142" s="82" t="e">
        <f>_xlfn.NORM.DIST(#REF!,Mean,StdDev,FALSE)</f>
        <v>#REF!</v>
      </c>
    </row>
    <row r="143" spans="17:19" ht="13" customHeight="1" x14ac:dyDescent="0.15">
      <c r="R143" s="82" t="e">
        <f>_xlfn.NORM.DIST(#REF!,Mean,StdDev,FALSE)</f>
        <v>#REF!</v>
      </c>
    </row>
    <row r="144" spans="17:19" ht="13" customHeight="1" x14ac:dyDescent="0.15">
      <c r="R144" s="82" t="e">
        <f>_xlfn.NORM.DIST(#REF!,Mean,StdDev,FALSE)</f>
        <v>#REF!</v>
      </c>
    </row>
    <row r="145" spans="18:18" ht="13" customHeight="1" x14ac:dyDescent="0.15">
      <c r="R145" s="82" t="e">
        <f>_xlfn.NORM.DIST(#REF!,Mean,StdDev,FALSE)</f>
        <v>#REF!</v>
      </c>
    </row>
    <row r="146" spans="18:18" ht="13" customHeight="1" x14ac:dyDescent="0.15">
      <c r="R146" s="82" t="e">
        <f>_xlfn.NORM.DIST(#REF!,Mean,StdDev,FALSE)</f>
        <v>#REF!</v>
      </c>
    </row>
    <row r="147" spans="18:18" ht="13" customHeight="1" x14ac:dyDescent="0.15">
      <c r="R147" s="82" t="e">
        <f>_xlfn.NORM.DIST(#REF!,Mean,StdDev,FALSE)</f>
        <v>#REF!</v>
      </c>
    </row>
    <row r="148" spans="18:18" ht="13" customHeight="1" x14ac:dyDescent="0.15">
      <c r="R148" s="82" t="e">
        <f>_xlfn.NORM.DIST(#REF!,Mean,StdDev,FALSE)</f>
        <v>#REF!</v>
      </c>
    </row>
    <row r="149" spans="18:18" ht="13" customHeight="1" x14ac:dyDescent="0.15">
      <c r="R149" s="82" t="e">
        <f>_xlfn.NORM.DIST(#REF!,Mean,StdDev,FALSE)</f>
        <v>#REF!</v>
      </c>
    </row>
    <row r="150" spans="18:18" ht="13" customHeight="1" x14ac:dyDescent="0.15">
      <c r="R150" s="82" t="e">
        <f>_xlfn.NORM.DIST(#REF!,Mean,StdDev,FALSE)</f>
        <v>#REF!</v>
      </c>
    </row>
    <row r="151" spans="18:18" ht="13" customHeight="1" x14ac:dyDescent="0.15">
      <c r="R151" s="82" t="e">
        <f>_xlfn.NORM.DIST(#REF!,Mean,StdDev,FALSE)</f>
        <v>#REF!</v>
      </c>
    </row>
    <row r="152" spans="18:18" ht="13" customHeight="1" x14ac:dyDescent="0.15">
      <c r="R152" s="82" t="e">
        <f>_xlfn.NORM.DIST(#REF!,Mean,StdDev,FALSE)</f>
        <v>#REF!</v>
      </c>
    </row>
    <row r="153" spans="18:18" ht="13" customHeight="1" x14ac:dyDescent="0.15">
      <c r="R153" s="82" t="e">
        <f>_xlfn.NORM.DIST(#REF!,Mean,StdDev,FALSE)</f>
        <v>#REF!</v>
      </c>
    </row>
    <row r="154" spans="18:18" ht="13" customHeight="1" x14ac:dyDescent="0.15">
      <c r="R154" s="82" t="e">
        <f>_xlfn.NORM.DIST(#REF!,Mean,StdDev,FALSE)</f>
        <v>#REF!</v>
      </c>
    </row>
    <row r="155" spans="18:18" ht="13" customHeight="1" x14ac:dyDescent="0.15">
      <c r="R155" s="82" t="e">
        <f>_xlfn.NORM.DIST(#REF!,Mean,StdDev,FALSE)</f>
        <v>#REF!</v>
      </c>
    </row>
    <row r="156" spans="18:18" ht="13" customHeight="1" x14ac:dyDescent="0.15">
      <c r="R156" s="82" t="e">
        <f>_xlfn.NORM.DIST(#REF!,Mean,StdDev,FALSE)</f>
        <v>#REF!</v>
      </c>
    </row>
    <row r="157" spans="18:18" ht="13" customHeight="1" x14ac:dyDescent="0.15">
      <c r="R157" s="82" t="e">
        <f>_xlfn.NORM.DIST(#REF!,Mean,StdDev,FALSE)</f>
        <v>#REF!</v>
      </c>
    </row>
    <row r="158" spans="18:18" ht="13" customHeight="1" x14ac:dyDescent="0.15">
      <c r="R158" s="82" t="e">
        <f>_xlfn.NORM.DIST(#REF!,Mean,StdDev,FALSE)</f>
        <v>#REF!</v>
      </c>
    </row>
    <row r="159" spans="18:18" ht="13" customHeight="1" x14ac:dyDescent="0.15">
      <c r="R159" s="82" t="e">
        <f>_xlfn.NORM.DIST(#REF!,Mean,StdDev,FALSE)</f>
        <v>#REF!</v>
      </c>
    </row>
    <row r="160" spans="18:18" ht="13" customHeight="1" x14ac:dyDescent="0.15">
      <c r="R160" s="82" t="e">
        <f>_xlfn.NORM.DIST(#REF!,Mean,StdDev,FALSE)</f>
        <v>#REF!</v>
      </c>
    </row>
    <row r="161" spans="18:18" ht="13" customHeight="1" x14ac:dyDescent="0.15">
      <c r="R161" s="82" t="e">
        <f>_xlfn.NORM.DIST(#REF!,Mean,StdDev,FALSE)</f>
        <v>#REF!</v>
      </c>
    </row>
    <row r="162" spans="18:18" ht="13" customHeight="1" x14ac:dyDescent="0.15">
      <c r="R162" s="82" t="e">
        <f>_xlfn.NORM.DIST(#REF!,Mean,StdDev,FALSE)</f>
        <v>#REF!</v>
      </c>
    </row>
    <row r="163" spans="18:18" ht="13" customHeight="1" x14ac:dyDescent="0.15">
      <c r="R163" s="82" t="e">
        <f>_xlfn.NORM.DIST(#REF!,Mean,StdDev,FALSE)</f>
        <v>#REF!</v>
      </c>
    </row>
    <row r="164" spans="18:18" ht="13" customHeight="1" x14ac:dyDescent="0.15">
      <c r="R164" s="82" t="e">
        <f>_xlfn.NORM.DIST(#REF!,Mean,StdDev,FALSE)</f>
        <v>#REF!</v>
      </c>
    </row>
    <row r="165" spans="18:18" ht="13" customHeight="1" x14ac:dyDescent="0.15">
      <c r="R165" s="82" t="e">
        <f>_xlfn.NORM.DIST(#REF!,Mean,StdDev,FALSE)</f>
        <v>#REF!</v>
      </c>
    </row>
    <row r="166" spans="18:18" ht="13" customHeight="1" x14ac:dyDescent="0.15">
      <c r="R166" s="82" t="e">
        <f>_xlfn.NORM.DIST(#REF!,Mean,StdDev,FALSE)</f>
        <v>#REF!</v>
      </c>
    </row>
    <row r="167" spans="18:18" ht="13" customHeight="1" x14ac:dyDescent="0.15">
      <c r="R167" s="82" t="e">
        <f>_xlfn.NORM.DIST(#REF!,Mean,StdDev,FALSE)</f>
        <v>#REF!</v>
      </c>
    </row>
    <row r="168" spans="18:18" ht="13" customHeight="1" x14ac:dyDescent="0.15">
      <c r="R168" s="82" t="e">
        <f>_xlfn.NORM.DIST(#REF!,Mean,StdDev,FALSE)</f>
        <v>#REF!</v>
      </c>
    </row>
    <row r="169" spans="18:18" ht="13" customHeight="1" x14ac:dyDescent="0.15">
      <c r="R169" s="82" t="e">
        <f>_xlfn.NORM.DIST(#REF!,Mean,StdDev,FALSE)</f>
        <v>#REF!</v>
      </c>
    </row>
    <row r="170" spans="18:18" ht="13" customHeight="1" x14ac:dyDescent="0.15">
      <c r="R170" s="82" t="e">
        <f>_xlfn.NORM.DIST(#REF!,Mean,StdDev,FALSE)</f>
        <v>#REF!</v>
      </c>
    </row>
    <row r="171" spans="18:18" ht="13" customHeight="1" x14ac:dyDescent="0.15">
      <c r="R171" s="82" t="e">
        <f>_xlfn.NORM.DIST(#REF!,Mean,StdDev,FALSE)</f>
        <v>#REF!</v>
      </c>
    </row>
    <row r="172" spans="18:18" ht="13" customHeight="1" x14ac:dyDescent="0.15">
      <c r="R172" s="82" t="e">
        <f>_xlfn.NORM.DIST(#REF!,Mean,StdDev,FALSE)</f>
        <v>#REF!</v>
      </c>
    </row>
    <row r="173" spans="18:18" ht="13" customHeight="1" x14ac:dyDescent="0.15">
      <c r="R173" s="82" t="e">
        <f>_xlfn.NORM.DIST(#REF!,Mean,StdDev,FALSE)</f>
        <v>#REF!</v>
      </c>
    </row>
    <row r="174" spans="18:18" ht="13" customHeight="1" x14ac:dyDescent="0.15">
      <c r="R174" s="82" t="e">
        <f>_xlfn.NORM.DIST(#REF!,Mean,StdDev,FALSE)</f>
        <v>#REF!</v>
      </c>
    </row>
    <row r="175" spans="18:18" ht="13" customHeight="1" x14ac:dyDescent="0.15">
      <c r="R175" s="82" t="e">
        <f>_xlfn.NORM.DIST(#REF!,Mean,StdDev,FALSE)</f>
        <v>#REF!</v>
      </c>
    </row>
    <row r="176" spans="18:18" ht="13" customHeight="1" x14ac:dyDescent="0.15">
      <c r="R176" s="82" t="e">
        <f>_xlfn.NORM.DIST(#REF!,Mean,StdDev,FALSE)</f>
        <v>#REF!</v>
      </c>
    </row>
    <row r="177" spans="18:18" ht="13" customHeight="1" x14ac:dyDescent="0.15">
      <c r="R177" s="82" t="e">
        <f>_xlfn.NORM.DIST(#REF!,Mean,StdDev,FALSE)</f>
        <v>#REF!</v>
      </c>
    </row>
    <row r="178" spans="18:18" ht="13" customHeight="1" x14ac:dyDescent="0.15">
      <c r="R178" s="82" t="e">
        <f>_xlfn.NORM.DIST(#REF!,Mean,StdDev,FALSE)</f>
        <v>#REF!</v>
      </c>
    </row>
    <row r="179" spans="18:18" ht="13" customHeight="1" x14ac:dyDescent="0.15">
      <c r="R179" s="82" t="e">
        <f>_xlfn.NORM.DIST(#REF!,Mean,StdDev,FALSE)</f>
        <v>#REF!</v>
      </c>
    </row>
    <row r="180" spans="18:18" ht="13" customHeight="1" x14ac:dyDescent="0.15">
      <c r="R180" s="82" t="e">
        <f>_xlfn.NORM.DIST(#REF!,Mean,StdDev,FALSE)</f>
        <v>#REF!</v>
      </c>
    </row>
    <row r="181" spans="18:18" ht="13" customHeight="1" x14ac:dyDescent="0.15">
      <c r="R181" s="82" t="e">
        <f>_xlfn.NORM.DIST(#REF!,Mean,StdDev,FALSE)</f>
        <v>#REF!</v>
      </c>
    </row>
    <row r="182" spans="18:18" ht="13" customHeight="1" x14ac:dyDescent="0.15">
      <c r="R182" s="82" t="e">
        <f>_xlfn.NORM.DIST(#REF!,Mean,StdDev,FALSE)</f>
        <v>#REF!</v>
      </c>
    </row>
    <row r="183" spans="18:18" ht="13" customHeight="1" x14ac:dyDescent="0.15">
      <c r="R183" s="82" t="e">
        <f>_xlfn.NORM.DIST(#REF!,Mean,StdDev,FALSE)</f>
        <v>#REF!</v>
      </c>
    </row>
    <row r="184" spans="18:18" ht="13" customHeight="1" x14ac:dyDescent="0.15">
      <c r="R184" s="82" t="e">
        <f>_xlfn.NORM.DIST(#REF!,Mean,StdDev,FALSE)</f>
        <v>#REF!</v>
      </c>
    </row>
    <row r="185" spans="18:18" ht="13" customHeight="1" x14ac:dyDescent="0.15">
      <c r="R185" s="82" t="e">
        <f>_xlfn.NORM.DIST(#REF!,Mean,StdDev,FALSE)</f>
        <v>#REF!</v>
      </c>
    </row>
    <row r="186" spans="18:18" ht="13" customHeight="1" x14ac:dyDescent="0.15">
      <c r="R186" s="82" t="e">
        <f>_xlfn.NORM.DIST(#REF!,Mean,StdDev,FALSE)</f>
        <v>#REF!</v>
      </c>
    </row>
    <row r="187" spans="18:18" ht="13" customHeight="1" x14ac:dyDescent="0.15">
      <c r="R187" s="82" t="e">
        <f>_xlfn.NORM.DIST(#REF!,Mean,StdDev,FALSE)</f>
        <v>#REF!</v>
      </c>
    </row>
    <row r="188" spans="18:18" ht="13" customHeight="1" x14ac:dyDescent="0.15">
      <c r="R188" s="82" t="e">
        <f>_xlfn.NORM.DIST(#REF!,Mean,StdDev,FALSE)</f>
        <v>#REF!</v>
      </c>
    </row>
    <row r="189" spans="18:18" ht="13" customHeight="1" x14ac:dyDescent="0.15">
      <c r="R189" s="82" t="e">
        <f>_xlfn.NORM.DIST(#REF!,Mean,StdDev,FALSE)</f>
        <v>#REF!</v>
      </c>
    </row>
    <row r="190" spans="18:18" ht="13" customHeight="1" x14ac:dyDescent="0.15">
      <c r="R190" s="82" t="e">
        <f>_xlfn.NORM.DIST(#REF!,Mean,StdDev,FALSE)</f>
        <v>#REF!</v>
      </c>
    </row>
    <row r="191" spans="18:18" ht="13" customHeight="1" x14ac:dyDescent="0.15">
      <c r="R191" s="82" t="e">
        <f>_xlfn.NORM.DIST(#REF!,Mean,StdDev,FALSE)</f>
        <v>#REF!</v>
      </c>
    </row>
    <row r="192" spans="18:18" ht="13" customHeight="1" x14ac:dyDescent="0.15">
      <c r="R192" s="82" t="e">
        <f>_xlfn.NORM.DIST(#REF!,Mean,StdDev,FALSE)</f>
        <v>#REF!</v>
      </c>
    </row>
    <row r="193" spans="17:19" ht="13" customHeight="1" x14ac:dyDescent="0.15">
      <c r="R193" s="82" t="e">
        <f>_xlfn.NORM.DIST(#REF!,Mean,StdDev,FALSE)</f>
        <v>#REF!</v>
      </c>
    </row>
    <row r="194" spans="17:19" ht="13" customHeight="1" x14ac:dyDescent="0.15"/>
    <row r="195" spans="17:19" ht="13" customHeight="1" x14ac:dyDescent="0.15"/>
    <row r="196" spans="17:19" ht="13" customHeight="1" x14ac:dyDescent="0.15">
      <c r="Q196" s="78" t="s">
        <v>15</v>
      </c>
      <c r="R196" s="78" t="s">
        <v>102</v>
      </c>
      <c r="S196" s="78" t="s">
        <v>103</v>
      </c>
    </row>
    <row r="197" spans="17:19" ht="13" customHeight="1" x14ac:dyDescent="0.15">
      <c r="R197" t="e">
        <f>_xlfn.NORM.DIST(#REF!,Mean,StdDev,FALSE)</f>
        <v>#REF!</v>
      </c>
    </row>
    <row r="198" spans="17:19" ht="13" customHeight="1" x14ac:dyDescent="0.15">
      <c r="R198" t="e">
        <f>_xlfn.NORM.DIST(#REF!,Mean,StdDev,FALSE)</f>
        <v>#REF!</v>
      </c>
    </row>
    <row r="199" spans="17:19" ht="13" customHeight="1" x14ac:dyDescent="0.15">
      <c r="R199" t="e">
        <f>_xlfn.NORM.DIST(#REF!,Mean,StdDev,FALSE)</f>
        <v>#REF!</v>
      </c>
    </row>
    <row r="200" spans="17:19" ht="13" customHeight="1" x14ac:dyDescent="0.15">
      <c r="R200" t="e">
        <f>_xlfn.NORM.DIST(#REF!,Mean,StdDev,FALSE)</f>
        <v>#REF!</v>
      </c>
    </row>
    <row r="201" spans="17:19" ht="13" customHeight="1" x14ac:dyDescent="0.15">
      <c r="R201" t="e">
        <f>_xlfn.NORM.DIST(#REF!,Mean,StdDev,FALSE)</f>
        <v>#REF!</v>
      </c>
    </row>
    <row r="202" spans="17:19" ht="13" customHeight="1" x14ac:dyDescent="0.15">
      <c r="R202" t="e">
        <f>_xlfn.NORM.DIST(#REF!,Mean,StdDev,FALSE)</f>
        <v>#REF!</v>
      </c>
    </row>
    <row r="203" spans="17:19" ht="13" customHeight="1" x14ac:dyDescent="0.15">
      <c r="R203" t="e">
        <f>_xlfn.NORM.DIST(#REF!,Mean,StdDev,FALSE)</f>
        <v>#REF!</v>
      </c>
    </row>
    <row r="204" spans="17:19" ht="13" customHeight="1" x14ac:dyDescent="0.15">
      <c r="R204" t="e">
        <f>_xlfn.NORM.DIST(#REF!,Mean,StdDev,FALSE)</f>
        <v>#REF!</v>
      </c>
    </row>
    <row r="205" spans="17:19" ht="13" customHeight="1" x14ac:dyDescent="0.15">
      <c r="R205" t="e">
        <f>_xlfn.NORM.DIST(#REF!,Mean,StdDev,FALSE)</f>
        <v>#REF!</v>
      </c>
    </row>
    <row r="206" spans="17:19" ht="13" customHeight="1" x14ac:dyDescent="0.15">
      <c r="R206" t="e">
        <f>_xlfn.NORM.DIST(#REF!,Mean,StdDev,FALSE)</f>
        <v>#REF!</v>
      </c>
    </row>
    <row r="207" spans="17:19" ht="13" customHeight="1" x14ac:dyDescent="0.15">
      <c r="R207" t="e">
        <f>_xlfn.NORM.DIST(#REF!,Mean,StdDev,FALSE)</f>
        <v>#REF!</v>
      </c>
    </row>
    <row r="208" spans="17:19" ht="13" customHeight="1" x14ac:dyDescent="0.15">
      <c r="R208" t="e">
        <f>_xlfn.NORM.DIST(#REF!,Mean,StdDev,FALSE)</f>
        <v>#REF!</v>
      </c>
    </row>
    <row r="209" spans="18:18" ht="13" customHeight="1" x14ac:dyDescent="0.15">
      <c r="R209" t="e">
        <f>_xlfn.NORM.DIST(#REF!,Mean,StdDev,FALSE)</f>
        <v>#REF!</v>
      </c>
    </row>
    <row r="210" spans="18:18" ht="13" customHeight="1" x14ac:dyDescent="0.15">
      <c r="R210" t="e">
        <f>_xlfn.NORM.DIST(#REF!,Mean,StdDev,FALSE)</f>
        <v>#REF!</v>
      </c>
    </row>
    <row r="211" spans="18:18" ht="13" customHeight="1" x14ac:dyDescent="0.15">
      <c r="R211" t="e">
        <f>_xlfn.NORM.DIST(#REF!,Mean,StdDev,FALSE)</f>
        <v>#REF!</v>
      </c>
    </row>
    <row r="212" spans="18:18" ht="13" customHeight="1" x14ac:dyDescent="0.15">
      <c r="R212" t="e">
        <f>_xlfn.NORM.DIST(#REF!,Mean,StdDev,FALSE)</f>
        <v>#REF!</v>
      </c>
    </row>
    <row r="213" spans="18:18" ht="13" customHeight="1" x14ac:dyDescent="0.15">
      <c r="R213" t="e">
        <f>_xlfn.NORM.DIST(#REF!,Mean,StdDev,FALSE)</f>
        <v>#REF!</v>
      </c>
    </row>
    <row r="214" spans="18:18" ht="13" customHeight="1" x14ac:dyDescent="0.15">
      <c r="R214" t="e">
        <f>_xlfn.NORM.DIST(#REF!,Mean,StdDev,FALSE)</f>
        <v>#REF!</v>
      </c>
    </row>
    <row r="215" spans="18:18" ht="13" customHeight="1" x14ac:dyDescent="0.15">
      <c r="R215" t="e">
        <f>_xlfn.NORM.DIST(#REF!,Mean,StdDev,FALSE)</f>
        <v>#REF!</v>
      </c>
    </row>
    <row r="216" spans="18:18" ht="13" customHeight="1" x14ac:dyDescent="0.15">
      <c r="R216" t="e">
        <f>_xlfn.NORM.DIST(#REF!,Mean,StdDev,FALSE)</f>
        <v>#REF!</v>
      </c>
    </row>
    <row r="217" spans="18:18" ht="13" customHeight="1" x14ac:dyDescent="0.15">
      <c r="R217" t="e">
        <f>_xlfn.NORM.DIST(#REF!,Mean,StdDev,FALSE)</f>
        <v>#REF!</v>
      </c>
    </row>
    <row r="218" spans="18:18" ht="13" customHeight="1" x14ac:dyDescent="0.15">
      <c r="R218" t="e">
        <f>_xlfn.NORM.DIST(#REF!,Mean,StdDev,FALSE)</f>
        <v>#REF!</v>
      </c>
    </row>
    <row r="219" spans="18:18" ht="13" customHeight="1" x14ac:dyDescent="0.15">
      <c r="R219" t="e">
        <f>_xlfn.NORM.DIST(#REF!,Mean,StdDev,FALSE)</f>
        <v>#REF!</v>
      </c>
    </row>
    <row r="220" spans="18:18" ht="13" customHeight="1" x14ac:dyDescent="0.15">
      <c r="R220" t="e">
        <f>_xlfn.NORM.DIST(#REF!,Mean,StdDev,FALSE)</f>
        <v>#REF!</v>
      </c>
    </row>
    <row r="221" spans="18:18" ht="13" customHeight="1" x14ac:dyDescent="0.15">
      <c r="R221" t="e">
        <f>_xlfn.NORM.DIST(#REF!,Mean,StdDev,FALSE)</f>
        <v>#REF!</v>
      </c>
    </row>
    <row r="222" spans="18:18" ht="13" customHeight="1" x14ac:dyDescent="0.15">
      <c r="R222" t="e">
        <f>_xlfn.NORM.DIST(#REF!,Mean,StdDev,FALSE)</f>
        <v>#REF!</v>
      </c>
    </row>
    <row r="223" spans="18:18" ht="13" customHeight="1" x14ac:dyDescent="0.15">
      <c r="R223" t="e">
        <f>_xlfn.NORM.DIST(#REF!,Mean,StdDev,FALSE)</f>
        <v>#REF!</v>
      </c>
    </row>
    <row r="224" spans="18:18" ht="13" customHeight="1" x14ac:dyDescent="0.15">
      <c r="R224" t="e">
        <f>_xlfn.NORM.DIST(#REF!,Mean,StdDev,FALSE)</f>
        <v>#REF!</v>
      </c>
    </row>
    <row r="225" spans="18:18" ht="13" customHeight="1" x14ac:dyDescent="0.15">
      <c r="R225" t="e">
        <f>_xlfn.NORM.DIST(#REF!,Mean,StdDev,FALSE)</f>
        <v>#REF!</v>
      </c>
    </row>
    <row r="226" spans="18:18" ht="13" customHeight="1" x14ac:dyDescent="0.15">
      <c r="R226" t="e">
        <f>_xlfn.NORM.DIST(#REF!,Mean,StdDev,FALSE)</f>
        <v>#REF!</v>
      </c>
    </row>
    <row r="227" spans="18:18" ht="13" customHeight="1" x14ac:dyDescent="0.15">
      <c r="R227" t="e">
        <f>_xlfn.NORM.DIST(#REF!,Mean,StdDev,FALSE)</f>
        <v>#REF!</v>
      </c>
    </row>
    <row r="228" spans="18:18" ht="13" customHeight="1" x14ac:dyDescent="0.15">
      <c r="R228" t="e">
        <f>_xlfn.NORM.DIST(#REF!,Mean,StdDev,FALSE)</f>
        <v>#REF!</v>
      </c>
    </row>
    <row r="229" spans="18:18" ht="13" customHeight="1" x14ac:dyDescent="0.15">
      <c r="R229" t="e">
        <f>_xlfn.NORM.DIST(#REF!,Mean,StdDev,FALSE)</f>
        <v>#REF!</v>
      </c>
    </row>
    <row r="230" spans="18:18" ht="13" customHeight="1" x14ac:dyDescent="0.15">
      <c r="R230" t="e">
        <f>_xlfn.NORM.DIST(#REF!,Mean,StdDev,FALSE)</f>
        <v>#REF!</v>
      </c>
    </row>
    <row r="231" spans="18:18" ht="13" customHeight="1" x14ac:dyDescent="0.15">
      <c r="R231" t="e">
        <f>_xlfn.NORM.DIST(#REF!,Mean,StdDev,FALSE)</f>
        <v>#REF!</v>
      </c>
    </row>
    <row r="232" spans="18:18" ht="13" customHeight="1" x14ac:dyDescent="0.15">
      <c r="R232" t="e">
        <f>_xlfn.NORM.DIST(#REF!,Mean,StdDev,FALSE)</f>
        <v>#REF!</v>
      </c>
    </row>
    <row r="233" spans="18:18" ht="13" customHeight="1" x14ac:dyDescent="0.15">
      <c r="R233" t="e">
        <f>_xlfn.NORM.DIST(#REF!,Mean,StdDev,FALSE)</f>
        <v>#REF!</v>
      </c>
    </row>
    <row r="234" spans="18:18" ht="13" customHeight="1" x14ac:dyDescent="0.15">
      <c r="R234" t="e">
        <f>_xlfn.NORM.DIST(#REF!,Mean,StdDev,FALSE)</f>
        <v>#REF!</v>
      </c>
    </row>
    <row r="235" spans="18:18" ht="13" customHeight="1" x14ac:dyDescent="0.15">
      <c r="R235" t="e">
        <f>_xlfn.NORM.DIST(#REF!,Mean,StdDev,FALSE)</f>
        <v>#REF!</v>
      </c>
    </row>
    <row r="236" spans="18:18" ht="13" customHeight="1" x14ac:dyDescent="0.15">
      <c r="R236" t="e">
        <f>_xlfn.NORM.DIST(#REF!,Mean,StdDev,FALSE)</f>
        <v>#REF!</v>
      </c>
    </row>
    <row r="237" spans="18:18" ht="13" customHeight="1" x14ac:dyDescent="0.15">
      <c r="R237" t="e">
        <f>_xlfn.NORM.DIST(#REF!,Mean,StdDev,FALSE)</f>
        <v>#REF!</v>
      </c>
    </row>
    <row r="238" spans="18:18" ht="13" customHeight="1" x14ac:dyDescent="0.15">
      <c r="R238" t="e">
        <f>_xlfn.NORM.DIST(#REF!,Mean,StdDev,FALSE)</f>
        <v>#REF!</v>
      </c>
    </row>
    <row r="239" spans="18:18" ht="13" customHeight="1" x14ac:dyDescent="0.15">
      <c r="R239" t="e">
        <f>_xlfn.NORM.DIST(#REF!,Mean,StdDev,FALSE)</f>
        <v>#REF!</v>
      </c>
    </row>
    <row r="240" spans="18:18" ht="13" customHeight="1" x14ac:dyDescent="0.15">
      <c r="R240" t="e">
        <f>_xlfn.NORM.DIST(#REF!,Mean,StdDev,FALSE)</f>
        <v>#REF!</v>
      </c>
    </row>
    <row r="241" spans="18:18" ht="13" customHeight="1" x14ac:dyDescent="0.15">
      <c r="R241" t="e">
        <f>_xlfn.NORM.DIST(#REF!,Mean,StdDev,FALSE)</f>
        <v>#REF!</v>
      </c>
    </row>
    <row r="242" spans="18:18" x14ac:dyDescent="0.15">
      <c r="R242" t="e">
        <f>_xlfn.NORM.DIST(#REF!,Mean,StdDev,FALSE)</f>
        <v>#REF!</v>
      </c>
    </row>
    <row r="243" spans="18:18" x14ac:dyDescent="0.15">
      <c r="R243" t="e">
        <f>_xlfn.NORM.DIST(#REF!,Mean,StdDev,FALSE)</f>
        <v>#REF!</v>
      </c>
    </row>
    <row r="244" spans="18:18" x14ac:dyDescent="0.15">
      <c r="R244" t="e">
        <f>_xlfn.NORM.DIST(#REF!,Mean,StdDev,FALSE)</f>
        <v>#REF!</v>
      </c>
    </row>
    <row r="245" spans="18:18" x14ac:dyDescent="0.15">
      <c r="R245" t="e">
        <f>_xlfn.NORM.DIST(#REF!,Mean,StdDev,FALSE)</f>
        <v>#REF!</v>
      </c>
    </row>
    <row r="246" spans="18:18" x14ac:dyDescent="0.15">
      <c r="R246" t="e">
        <f>_xlfn.NORM.DIST(#REF!,Mean,StdDev,FALSE)</f>
        <v>#REF!</v>
      </c>
    </row>
    <row r="247" spans="18:18" x14ac:dyDescent="0.15">
      <c r="R247" t="e">
        <f>_xlfn.NORM.DIST(#REF!,Mean,StdDev,FALSE)</f>
        <v>#REF!</v>
      </c>
    </row>
    <row r="248" spans="18:18" x14ac:dyDescent="0.15">
      <c r="R248" t="e">
        <f>_xlfn.NORM.DIST(#REF!,Mean,StdDev,FALSE)</f>
        <v>#REF!</v>
      </c>
    </row>
    <row r="249" spans="18:18" x14ac:dyDescent="0.15">
      <c r="R249" t="e">
        <f>_xlfn.NORM.DIST(#REF!,Mean,StdDev,FALSE)</f>
        <v>#REF!</v>
      </c>
    </row>
    <row r="250" spans="18:18" x14ac:dyDescent="0.15">
      <c r="R250" t="e">
        <f>_xlfn.NORM.DIST(#REF!,Mean,StdDev,FALSE)</f>
        <v>#REF!</v>
      </c>
    </row>
    <row r="251" spans="18:18" x14ac:dyDescent="0.15">
      <c r="R251" t="e">
        <f>_xlfn.NORM.DIST(#REF!,Mean,StdDev,FALSE)</f>
        <v>#REF!</v>
      </c>
    </row>
    <row r="252" spans="18:18" x14ac:dyDescent="0.15">
      <c r="R252" t="e">
        <f>_xlfn.NORM.DIST(#REF!,Mean,StdDev,FALSE)</f>
        <v>#REF!</v>
      </c>
    </row>
    <row r="253" spans="18:18" x14ac:dyDescent="0.15">
      <c r="R253" t="e">
        <f>_xlfn.NORM.DIST(#REF!,Mean,StdDev,FALSE)</f>
        <v>#REF!</v>
      </c>
    </row>
    <row r="254" spans="18:18" x14ac:dyDescent="0.15">
      <c r="R254" t="e">
        <f>_xlfn.NORM.DIST(#REF!,Mean,StdDev,FALSE)</f>
        <v>#REF!</v>
      </c>
    </row>
    <row r="255" spans="18:18" x14ac:dyDescent="0.15">
      <c r="R255" t="e">
        <f>_xlfn.NORM.DIST(#REF!,Mean,StdDev,FALSE)</f>
        <v>#REF!</v>
      </c>
    </row>
    <row r="256" spans="18:18" x14ac:dyDescent="0.15">
      <c r="R256" t="e">
        <f>_xlfn.NORM.DIST(#REF!,Mean,StdDev,FALSE)</f>
        <v>#REF!</v>
      </c>
    </row>
    <row r="257" spans="18:18" x14ac:dyDescent="0.15">
      <c r="R257" t="e">
        <f>_xlfn.NORM.DIST(#REF!,Mean,StdDev,FALSE)</f>
        <v>#REF!</v>
      </c>
    </row>
  </sheetData>
  <mergeCells count="1">
    <mergeCell ref="A2:C2"/>
  </mergeCells>
  <phoneticPr fontId="22"/>
  <pageMargins left="0.7" right="0.7" top="0.75" bottom="0.75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8"/>
  <sheetViews>
    <sheetView zoomScale="200" zoomScaleNormal="200" workbookViewId="0">
      <selection activeCell="B7" sqref="B7"/>
    </sheetView>
  </sheetViews>
  <sheetFormatPr baseColWidth="10" defaultRowHeight="13" x14ac:dyDescent="0.15"/>
  <cols>
    <col min="1" max="1" width="20.1640625" customWidth="1"/>
    <col min="2" max="2" width="11.83203125" customWidth="1"/>
    <col min="3" max="3" width="21.1640625" customWidth="1"/>
    <col min="4" max="6" width="11.6640625" customWidth="1"/>
    <col min="19" max="19" width="11.6640625" bestFit="1" customWidth="1"/>
    <col min="23" max="23" width="11.1640625" bestFit="1" customWidth="1"/>
  </cols>
  <sheetData>
    <row r="1" spans="1:27" ht="16" customHeight="1" x14ac:dyDescent="0.2">
      <c r="A1" s="1" t="s">
        <v>110</v>
      </c>
    </row>
    <row r="2" spans="1:27" ht="12" customHeight="1" x14ac:dyDescent="0.15">
      <c r="A2" s="159" t="s">
        <v>51</v>
      </c>
      <c r="B2" s="160"/>
      <c r="C2" s="160"/>
      <c r="E2" s="63"/>
    </row>
    <row r="3" spans="1:27" ht="12" customHeight="1" x14ac:dyDescent="0.15">
      <c r="A3" s="160"/>
      <c r="B3" s="160"/>
      <c r="C3" s="160"/>
      <c r="E3" s="63"/>
    </row>
    <row r="4" spans="1:27" ht="14" customHeight="1" x14ac:dyDescent="0.15">
      <c r="A4" s="50" t="s">
        <v>50</v>
      </c>
      <c r="B4" s="129"/>
      <c r="C4" s="143"/>
      <c r="R4" s="78" t="s">
        <v>15</v>
      </c>
      <c r="S4" s="78" t="s">
        <v>102</v>
      </c>
      <c r="T4" s="78" t="s">
        <v>103</v>
      </c>
      <c r="U4" s="85" t="s">
        <v>112</v>
      </c>
      <c r="V4" s="86" t="s">
        <v>32</v>
      </c>
      <c r="W4" s="85"/>
      <c r="X4" s="78" t="s">
        <v>134</v>
      </c>
      <c r="Y4" s="86" t="s">
        <v>132</v>
      </c>
      <c r="AA4" s="45" t="s">
        <v>133</v>
      </c>
    </row>
    <row r="5" spans="1:27" ht="14" customHeight="1" x14ac:dyDescent="0.15">
      <c r="A5" s="77" t="s">
        <v>59</v>
      </c>
      <c r="B5" s="130">
        <v>0.71</v>
      </c>
      <c r="C5" s="131"/>
      <c r="D5" s="79"/>
      <c r="E5" s="79"/>
      <c r="F5" s="79"/>
      <c r="R5" s="46">
        <v>-4</v>
      </c>
      <c r="S5" s="80">
        <f t="shared" ref="S5:S36" si="0">_xlfn.NORM.DIST(R5,0,1,FALSE)</f>
        <v>1.3383022576488537E-4</v>
      </c>
      <c r="T5" s="80">
        <f t="shared" ref="T5:T36" si="1">_xlfn.NORM.DIST(R5,0,1,TRUE)</f>
        <v>3.1671241833119857E-5</v>
      </c>
      <c r="U5">
        <v>-4</v>
      </c>
      <c r="V5">
        <f>IF(B13&lt;0,B13,-B13)</f>
        <v>-9.173081089070708</v>
      </c>
      <c r="W5" s="46">
        <f>R5</f>
        <v>-4</v>
      </c>
      <c r="X5" s="81">
        <f t="shared" ref="X5:X36" si="2">_xlfn.NORM.DIST(W5,0,1,FALSE)</f>
        <v>1.3383022576488537E-4</v>
      </c>
      <c r="Y5">
        <f>IF(B13&gt;0,B13,-B13)</f>
        <v>9.173081089070708</v>
      </c>
      <c r="Z5" s="46">
        <f>-R5</f>
        <v>4</v>
      </c>
      <c r="AA5" s="81">
        <f t="shared" ref="AA5:AA36" si="3">_xlfn.NORM.DIST(Z5,0,1,FALSE)</f>
        <v>1.3383022576488537E-4</v>
      </c>
    </row>
    <row r="6" spans="1:27" ht="14" customHeight="1" x14ac:dyDescent="0.15">
      <c r="A6" s="77" t="s">
        <v>71</v>
      </c>
      <c r="B6" s="147">
        <v>1669</v>
      </c>
      <c r="C6" s="133"/>
      <c r="D6" s="79"/>
      <c r="E6" s="79"/>
      <c r="F6" s="79"/>
      <c r="R6" s="46">
        <f t="shared" ref="R6:R37" si="4">8/60+R5</f>
        <v>-3.8666666666666667</v>
      </c>
      <c r="S6" s="80">
        <f t="shared" si="0"/>
        <v>2.261088384036847E-4</v>
      </c>
      <c r="T6" s="80">
        <f t="shared" si="1"/>
        <v>5.5166535027278632E-5</v>
      </c>
      <c r="W6" s="46">
        <f t="shared" ref="W6:W37" si="5">($V$5-$W$5)/60+W5</f>
        <v>-4.0862180181511789</v>
      </c>
      <c r="X6" s="81">
        <f t="shared" si="2"/>
        <v>9.4441744002809325E-5</v>
      </c>
      <c r="Z6" s="46">
        <f t="shared" ref="Z6:Z37" si="6">($Y$5-$Z$5)/60+Z5</f>
        <v>4.0862180181511789</v>
      </c>
      <c r="AA6" s="81">
        <f t="shared" si="3"/>
        <v>9.4441744002809325E-5</v>
      </c>
    </row>
    <row r="7" spans="1:27" ht="14" customHeight="1" x14ac:dyDescent="0.15">
      <c r="A7" s="77" t="s">
        <v>66</v>
      </c>
      <c r="B7" s="130">
        <v>0.6</v>
      </c>
      <c r="C7" s="131"/>
      <c r="D7" s="79"/>
      <c r="E7" s="79"/>
      <c r="F7" s="79"/>
      <c r="R7" s="46">
        <f t="shared" si="4"/>
        <v>-3.7333333333333334</v>
      </c>
      <c r="S7" s="80">
        <f t="shared" si="0"/>
        <v>3.7528402371763E-4</v>
      </c>
      <c r="T7" s="80">
        <f t="shared" si="1"/>
        <v>9.4481124804330071E-5</v>
      </c>
      <c r="W7" s="46">
        <f t="shared" si="5"/>
        <v>-4.1724360363023578</v>
      </c>
      <c r="X7" s="81">
        <f t="shared" si="2"/>
        <v>6.6152374541940417E-5</v>
      </c>
      <c r="Z7" s="46">
        <f t="shared" si="6"/>
        <v>4.1724360363023578</v>
      </c>
      <c r="AA7" s="81">
        <f t="shared" si="3"/>
        <v>6.6152374541940417E-5</v>
      </c>
    </row>
    <row r="8" spans="1:27" ht="14" customHeight="1" x14ac:dyDescent="0.15">
      <c r="A8" s="77" t="s">
        <v>2</v>
      </c>
      <c r="B8" s="130">
        <v>0.1</v>
      </c>
      <c r="C8" s="131"/>
      <c r="D8" s="79"/>
      <c r="E8" s="79"/>
      <c r="F8" s="79"/>
      <c r="R8" s="46">
        <f t="shared" si="4"/>
        <v>-3.6</v>
      </c>
      <c r="S8" s="80">
        <f t="shared" si="0"/>
        <v>6.119019301137719E-4</v>
      </c>
      <c r="T8" s="80">
        <f t="shared" si="1"/>
        <v>1.5910859015753364E-4</v>
      </c>
      <c r="W8" s="46">
        <f t="shared" si="5"/>
        <v>-4.2586540544535367</v>
      </c>
      <c r="X8" s="81">
        <f t="shared" si="2"/>
        <v>4.5993719152464709E-5</v>
      </c>
      <c r="Z8" s="46">
        <f t="shared" si="6"/>
        <v>4.2586540544535367</v>
      </c>
      <c r="AA8" s="81">
        <f t="shared" si="3"/>
        <v>4.5993719152464709E-5</v>
      </c>
    </row>
    <row r="9" spans="1:27" ht="14" customHeight="1" x14ac:dyDescent="0.15">
      <c r="A9" s="77" t="s">
        <v>125</v>
      </c>
      <c r="B9" s="145">
        <v>99</v>
      </c>
      <c r="D9" s="79"/>
      <c r="E9" s="79"/>
      <c r="F9" s="79"/>
      <c r="R9" s="46">
        <f t="shared" si="4"/>
        <v>-3.4666666666666668</v>
      </c>
      <c r="S9" s="80">
        <f t="shared" si="0"/>
        <v>9.8012796127537193E-4</v>
      </c>
      <c r="T9" s="80">
        <f t="shared" si="1"/>
        <v>2.6347746559529916E-4</v>
      </c>
      <c r="W9" s="46">
        <f t="shared" si="5"/>
        <v>-4.3448720726047156</v>
      </c>
      <c r="X9" s="81">
        <f t="shared" si="2"/>
        <v>3.1741194906885167E-5</v>
      </c>
      <c r="Z9" s="46">
        <f t="shared" si="6"/>
        <v>4.3448720726047156</v>
      </c>
      <c r="AA9" s="81">
        <f t="shared" si="3"/>
        <v>3.1741194906885167E-5</v>
      </c>
    </row>
    <row r="10" spans="1:27" ht="14" customHeight="1" x14ac:dyDescent="0.15">
      <c r="A10" s="77" t="s">
        <v>33</v>
      </c>
      <c r="B10" s="132">
        <f>SQRT(B5*(1-B5))</f>
        <v>0.45376205218153715</v>
      </c>
      <c r="C10" s="131"/>
      <c r="D10" s="79"/>
      <c r="E10" s="79"/>
      <c r="F10" s="79"/>
      <c r="R10" s="46">
        <f t="shared" si="4"/>
        <v>-3.3333333333333335</v>
      </c>
      <c r="S10" s="80">
        <f t="shared" si="0"/>
        <v>1.5422789962911052E-3</v>
      </c>
      <c r="T10" s="80">
        <f t="shared" si="1"/>
        <v>4.2906033319683703E-4</v>
      </c>
      <c r="W10" s="46">
        <f t="shared" si="5"/>
        <v>-4.4310900907558946</v>
      </c>
      <c r="X10" s="81">
        <f t="shared" si="2"/>
        <v>2.1743010043292714E-5</v>
      </c>
      <c r="Z10" s="46">
        <f t="shared" si="6"/>
        <v>4.4310900907558946</v>
      </c>
      <c r="AA10" s="81">
        <f t="shared" si="3"/>
        <v>2.1743010043292714E-5</v>
      </c>
    </row>
    <row r="11" spans="1:27" ht="14" customHeight="1" x14ac:dyDescent="0.15">
      <c r="A11" s="77" t="s">
        <v>149</v>
      </c>
      <c r="B11" s="132">
        <f>B5*(1-B5)</f>
        <v>0.20590000000000003</v>
      </c>
      <c r="C11" s="131"/>
      <c r="D11" s="79"/>
      <c r="E11" s="79"/>
      <c r="F11" s="79"/>
      <c r="R11" s="46">
        <f t="shared" si="4"/>
        <v>-3.2</v>
      </c>
      <c r="S11" s="80">
        <f t="shared" si="0"/>
        <v>2.3840882014648404E-3</v>
      </c>
      <c r="T11" s="80">
        <f t="shared" si="1"/>
        <v>6.8713793791584719E-4</v>
      </c>
      <c r="W11" s="46">
        <f t="shared" si="5"/>
        <v>-4.5173081089070735</v>
      </c>
      <c r="X11" s="81">
        <f t="shared" si="2"/>
        <v>1.4783855626983362E-5</v>
      </c>
      <c r="Z11" s="46">
        <f t="shared" si="6"/>
        <v>4.5173081089070735</v>
      </c>
      <c r="AA11" s="81">
        <f t="shared" si="3"/>
        <v>1.4783855626983362E-5</v>
      </c>
    </row>
    <row r="12" spans="1:27" ht="14" customHeight="1" x14ac:dyDescent="0.15">
      <c r="A12" s="77" t="s">
        <v>95</v>
      </c>
      <c r="B12" s="132">
        <f>SQRT(B7*(1-B7)/B6)</f>
        <v>1.1991608809722588E-2</v>
      </c>
      <c r="C12" s="131"/>
      <c r="D12" s="79"/>
      <c r="E12" s="79"/>
      <c r="F12" s="79"/>
      <c r="R12" s="46">
        <f t="shared" si="4"/>
        <v>-3.0666666666666669</v>
      </c>
      <c r="S12" s="80">
        <f t="shared" si="0"/>
        <v>3.6204362280192869E-3</v>
      </c>
      <c r="T12" s="80">
        <f t="shared" si="1"/>
        <v>1.0823004813931892E-3</v>
      </c>
      <c r="U12">
        <v>-3</v>
      </c>
      <c r="W12" s="46">
        <f t="shared" si="5"/>
        <v>-4.6035261270582524</v>
      </c>
      <c r="X12" s="81">
        <f t="shared" si="2"/>
        <v>9.9776303625251594E-6</v>
      </c>
      <c r="Z12" s="46">
        <f t="shared" si="6"/>
        <v>4.6035261270582524</v>
      </c>
      <c r="AA12" s="81">
        <f t="shared" si="3"/>
        <v>9.9776303625251594E-6</v>
      </c>
    </row>
    <row r="13" spans="1:27" ht="14" customHeight="1" x14ac:dyDescent="0.15">
      <c r="A13" s="77" t="s">
        <v>60</v>
      </c>
      <c r="B13" s="134">
        <f>(B5-B7)/B12</f>
        <v>9.173081089070708</v>
      </c>
      <c r="D13" s="79"/>
      <c r="E13" s="79"/>
      <c r="F13" s="79"/>
      <c r="R13" s="46">
        <f t="shared" si="4"/>
        <v>-2.9333333333333336</v>
      </c>
      <c r="S13" s="80">
        <f t="shared" si="0"/>
        <v>5.4010561811943707E-3</v>
      </c>
      <c r="T13" s="80">
        <f t="shared" si="1"/>
        <v>1.6767182274731588E-3</v>
      </c>
      <c r="W13" s="46">
        <f t="shared" si="5"/>
        <v>-4.6897441452094313</v>
      </c>
      <c r="X13" s="81">
        <f t="shared" si="2"/>
        <v>6.6840356944157771E-6</v>
      </c>
      <c r="Z13" s="46">
        <f t="shared" si="6"/>
        <v>4.6897441452094313</v>
      </c>
      <c r="AA13" s="81">
        <f t="shared" si="3"/>
        <v>6.6840356944157771E-6</v>
      </c>
    </row>
    <row r="14" spans="1:27" ht="14" customHeight="1" x14ac:dyDescent="0.15">
      <c r="A14" s="77"/>
      <c r="B14" s="32"/>
      <c r="C14" s="135" t="s">
        <v>3</v>
      </c>
      <c r="R14" s="46">
        <f t="shared" si="4"/>
        <v>-2.8000000000000003</v>
      </c>
      <c r="S14" s="80">
        <f t="shared" si="0"/>
        <v>7.9154515829799564E-3</v>
      </c>
      <c r="T14" s="80">
        <f t="shared" si="1"/>
        <v>2.5551303304279286E-3</v>
      </c>
      <c r="W14" s="46">
        <f t="shared" si="5"/>
        <v>-4.7759621633606102</v>
      </c>
      <c r="X14" s="81">
        <f t="shared" si="2"/>
        <v>4.4444882449082943E-6</v>
      </c>
      <c r="Z14" s="46">
        <f t="shared" si="6"/>
        <v>4.7759621633606102</v>
      </c>
      <c r="AA14" s="81">
        <f t="shared" si="3"/>
        <v>4.4444882449082943E-6</v>
      </c>
    </row>
    <row r="15" spans="1:27" ht="14" customHeight="1" x14ac:dyDescent="0.15">
      <c r="A15" s="136" t="s">
        <v>135</v>
      </c>
      <c r="B15" s="137">
        <f>1-_xlfn.NORM.S.DIST(ABS(B13),TRUE)</f>
        <v>0</v>
      </c>
      <c r="C15" s="138" t="str">
        <f>IF(B15&lt;$B$8,"Reject Ho:","Fail to Reject Ho:")</f>
        <v>Reject Ho:</v>
      </c>
      <c r="R15" s="46">
        <f t="shared" si="4"/>
        <v>-2.666666666666667</v>
      </c>
      <c r="S15" s="80">
        <f t="shared" si="0"/>
        <v>1.1395986023797433E-2</v>
      </c>
      <c r="T15" s="80">
        <f t="shared" si="1"/>
        <v>3.8303805675897291E-3</v>
      </c>
      <c r="W15" s="46">
        <f t="shared" si="5"/>
        <v>-4.8621801815117891</v>
      </c>
      <c r="X15" s="81">
        <f t="shared" si="2"/>
        <v>2.9334346324706729E-6</v>
      </c>
      <c r="Z15" s="46">
        <f t="shared" si="6"/>
        <v>4.8621801815117891</v>
      </c>
      <c r="AA15" s="81">
        <f t="shared" si="3"/>
        <v>2.9334346324706729E-6</v>
      </c>
    </row>
    <row r="16" spans="1:27" ht="14" customHeight="1" x14ac:dyDescent="0.15">
      <c r="A16" s="136" t="s">
        <v>43</v>
      </c>
      <c r="B16" s="137">
        <f>2*B15</f>
        <v>0</v>
      </c>
      <c r="C16" s="138" t="str">
        <f>IF(B16&lt;$B$8,"Reject Ho:","Fail to Reject Ho:")</f>
        <v>Reject Ho:</v>
      </c>
      <c r="R16" s="46">
        <f t="shared" si="4"/>
        <v>-2.5333333333333337</v>
      </c>
      <c r="S16" s="80">
        <f t="shared" si="0"/>
        <v>1.6117858113648978E-2</v>
      </c>
      <c r="T16" s="80">
        <f t="shared" si="1"/>
        <v>5.6491727555606323E-3</v>
      </c>
      <c r="W16" s="46">
        <f t="shared" si="5"/>
        <v>-4.948398199662968</v>
      </c>
      <c r="X16" s="81">
        <f t="shared" si="2"/>
        <v>1.9217757983190833E-6</v>
      </c>
      <c r="Z16" s="46">
        <f t="shared" si="6"/>
        <v>4.948398199662968</v>
      </c>
      <c r="AA16" s="81">
        <f t="shared" si="3"/>
        <v>1.9217757983190833E-6</v>
      </c>
    </row>
    <row r="17" spans="1:27" ht="14" customHeight="1" x14ac:dyDescent="0.15">
      <c r="A17" s="77"/>
      <c r="B17" s="32"/>
      <c r="C17" s="32"/>
      <c r="R17" s="46">
        <f t="shared" si="4"/>
        <v>-2.4000000000000004</v>
      </c>
      <c r="S17" s="80">
        <f t="shared" si="0"/>
        <v>2.2394530294842882E-2</v>
      </c>
      <c r="T17" s="80">
        <f t="shared" si="1"/>
        <v>8.1975359245961138E-3</v>
      </c>
      <c r="W17" s="46">
        <f t="shared" si="5"/>
        <v>-5.0346162178141469</v>
      </c>
      <c r="X17" s="81">
        <f t="shared" si="2"/>
        <v>1.2496853434936073E-6</v>
      </c>
      <c r="Z17" s="46">
        <f t="shared" si="6"/>
        <v>5.0346162178141469</v>
      </c>
      <c r="AA17" s="81">
        <f t="shared" si="3"/>
        <v>1.2496853434936073E-6</v>
      </c>
    </row>
    <row r="18" spans="1:27" ht="14" customHeight="1" x14ac:dyDescent="0.15">
      <c r="A18" s="77" t="s">
        <v>5</v>
      </c>
      <c r="B18" s="134">
        <f>_xlfn.NORM.INV(B8,0,1)</f>
        <v>-1.2815515655446006</v>
      </c>
      <c r="C18" s="139">
        <f>ABS(B18)</f>
        <v>1.2815515655446006</v>
      </c>
      <c r="R18" s="46">
        <f t="shared" si="4"/>
        <v>-2.2666666666666671</v>
      </c>
      <c r="S18" s="80">
        <f t="shared" si="0"/>
        <v>3.0567209727885444E-2</v>
      </c>
      <c r="T18" s="80">
        <f t="shared" si="1"/>
        <v>1.170529808055833E-2</v>
      </c>
      <c r="W18" s="46">
        <f t="shared" si="5"/>
        <v>-5.1208342359653258</v>
      </c>
      <c r="X18" s="81">
        <f t="shared" si="2"/>
        <v>8.0662241184172228E-7</v>
      </c>
      <c r="Z18" s="46">
        <f t="shared" si="6"/>
        <v>5.1208342359653258</v>
      </c>
      <c r="AA18" s="81">
        <f t="shared" si="3"/>
        <v>8.0662241184172228E-7</v>
      </c>
    </row>
    <row r="19" spans="1:27" ht="14" customHeight="1" x14ac:dyDescent="0.15">
      <c r="A19" s="77" t="s">
        <v>6</v>
      </c>
      <c r="B19" s="134">
        <f>_xlfn.NORM.INV(B8/2,0,1)</f>
        <v>-1.6448536269514726</v>
      </c>
      <c r="C19" s="139">
        <f>ABS(B19)</f>
        <v>1.6448536269514726</v>
      </c>
      <c r="R19" s="46">
        <f t="shared" si="4"/>
        <v>-2.1333333333333337</v>
      </c>
      <c r="S19" s="80">
        <f t="shared" si="0"/>
        <v>4.0987256045222159E-2</v>
      </c>
      <c r="T19" s="80">
        <f t="shared" si="1"/>
        <v>1.6448695822745309E-2</v>
      </c>
      <c r="W19" s="46">
        <f t="shared" si="5"/>
        <v>-5.2070522541165047</v>
      </c>
      <c r="X19" s="81">
        <f t="shared" si="2"/>
        <v>5.1678695754006279E-7</v>
      </c>
      <c r="Z19" s="46">
        <f t="shared" si="6"/>
        <v>5.2070522541165047</v>
      </c>
      <c r="AA19" s="81">
        <f t="shared" si="3"/>
        <v>5.1678695754006279E-7</v>
      </c>
    </row>
    <row r="20" spans="1:27" ht="14" customHeight="1" x14ac:dyDescent="0.15">
      <c r="A20" s="32"/>
      <c r="B20" s="32"/>
      <c r="C20" s="140"/>
      <c r="D20" s="63"/>
      <c r="E20" s="63"/>
      <c r="F20" s="63"/>
      <c r="R20" s="46">
        <f t="shared" si="4"/>
        <v>-2.0000000000000004</v>
      </c>
      <c r="S20" s="80">
        <f t="shared" si="0"/>
        <v>5.3990966513188007E-2</v>
      </c>
      <c r="T20" s="80">
        <f t="shared" si="1"/>
        <v>2.2750131948179184E-2</v>
      </c>
      <c r="U20">
        <v>-2</v>
      </c>
      <c r="W20" s="46">
        <f t="shared" si="5"/>
        <v>-5.2932702722676837</v>
      </c>
      <c r="X20" s="81">
        <f t="shared" si="2"/>
        <v>3.2864305287114127E-7</v>
      </c>
      <c r="Z20" s="46">
        <f t="shared" si="6"/>
        <v>5.2932702722676837</v>
      </c>
      <c r="AA20" s="81">
        <f t="shared" si="3"/>
        <v>3.2864305287114127E-7</v>
      </c>
    </row>
    <row r="21" spans="1:27" ht="14" customHeight="1" x14ac:dyDescent="0.15">
      <c r="A21" s="50" t="s">
        <v>11</v>
      </c>
      <c r="B21" s="129"/>
      <c r="C21" s="141"/>
      <c r="D21" s="63"/>
      <c r="E21" s="63"/>
      <c r="F21" s="63"/>
      <c r="R21" s="46">
        <f t="shared" si="4"/>
        <v>-1.8666666666666671</v>
      </c>
      <c r="S21" s="80">
        <f t="shared" si="0"/>
        <v>6.9867076070915121E-2</v>
      </c>
      <c r="T21" s="80">
        <f t="shared" si="1"/>
        <v>3.0974075706740548E-2</v>
      </c>
      <c r="W21" s="46">
        <f t="shared" si="5"/>
        <v>-5.3794882904188626</v>
      </c>
      <c r="X21" s="81">
        <f t="shared" si="2"/>
        <v>2.0744788891366422E-7</v>
      </c>
      <c r="Z21" s="46">
        <f t="shared" si="6"/>
        <v>5.3794882904188626</v>
      </c>
      <c r="AA21" s="81">
        <f t="shared" si="3"/>
        <v>2.0744788891366422E-7</v>
      </c>
    </row>
    <row r="22" spans="1:27" ht="14" customHeight="1" x14ac:dyDescent="0.15">
      <c r="A22" s="33" t="s">
        <v>54</v>
      </c>
      <c r="B22" s="132">
        <f>B5</f>
        <v>0.71</v>
      </c>
      <c r="C22" s="32"/>
      <c r="D22" s="63"/>
      <c r="E22" s="63"/>
      <c r="F22" s="63"/>
      <c r="R22" s="46">
        <f t="shared" si="4"/>
        <v>-1.7333333333333338</v>
      </c>
      <c r="S22" s="80">
        <f t="shared" si="0"/>
        <v>8.8818461090591799E-2</v>
      </c>
      <c r="T22" s="80">
        <f t="shared" si="1"/>
        <v>4.1518219688779057E-2</v>
      </c>
      <c r="W22" s="46">
        <f t="shared" si="5"/>
        <v>-5.4657063085700415</v>
      </c>
      <c r="X22" s="81">
        <f t="shared" si="2"/>
        <v>1.2997661867983859E-7</v>
      </c>
      <c r="Z22" s="46">
        <f t="shared" si="6"/>
        <v>5.4657063085700415</v>
      </c>
      <c r="AA22" s="81">
        <f t="shared" si="3"/>
        <v>1.2997661867983859E-7</v>
      </c>
    </row>
    <row r="23" spans="1:27" ht="14" customHeight="1" x14ac:dyDescent="0.15">
      <c r="A23" s="33" t="s">
        <v>41</v>
      </c>
      <c r="B23" s="132">
        <f>B10</f>
        <v>0.45376205218153715</v>
      </c>
      <c r="C23" s="32"/>
      <c r="D23" s="63"/>
      <c r="E23" s="63"/>
      <c r="F23" s="63"/>
      <c r="R23" s="46">
        <f t="shared" si="4"/>
        <v>-1.6000000000000005</v>
      </c>
      <c r="S23" s="80">
        <f t="shared" si="0"/>
        <v>0.11092083467945546</v>
      </c>
      <c r="T23" s="80">
        <f t="shared" si="1"/>
        <v>5.4799291699557925E-2</v>
      </c>
      <c r="W23" s="46">
        <f t="shared" si="5"/>
        <v>-5.5519243267212204</v>
      </c>
      <c r="X23" s="81">
        <f t="shared" si="2"/>
        <v>8.0833819726170504E-8</v>
      </c>
      <c r="Z23" s="46">
        <f t="shared" si="6"/>
        <v>5.5519243267212204</v>
      </c>
      <c r="AA23" s="81">
        <f t="shared" si="3"/>
        <v>8.0833819726170504E-8</v>
      </c>
    </row>
    <row r="24" spans="1:27" ht="14" customHeight="1" x14ac:dyDescent="0.15">
      <c r="A24" s="33" t="s">
        <v>71</v>
      </c>
      <c r="B24" s="132">
        <f>B6</f>
        <v>1669</v>
      </c>
      <c r="C24" s="32"/>
      <c r="R24" s="46">
        <f t="shared" si="4"/>
        <v>-1.4666666666666672</v>
      </c>
      <c r="S24" s="80">
        <f t="shared" si="0"/>
        <v>0.13608248241227794</v>
      </c>
      <c r="T24" s="80">
        <f t="shared" si="1"/>
        <v>7.1233377413985999E-2</v>
      </c>
      <c r="W24" s="46">
        <f t="shared" si="5"/>
        <v>-5.6381423448723993</v>
      </c>
      <c r="X24" s="81">
        <f t="shared" si="2"/>
        <v>4.9899089356395513E-8</v>
      </c>
      <c r="Z24" s="46">
        <f t="shared" si="6"/>
        <v>5.6381423448723993</v>
      </c>
      <c r="AA24" s="81">
        <f t="shared" si="3"/>
        <v>4.9899089356395513E-8</v>
      </c>
    </row>
    <row r="25" spans="1:27" ht="14" customHeight="1" x14ac:dyDescent="0.15">
      <c r="A25" s="33" t="s">
        <v>125</v>
      </c>
      <c r="B25" s="146">
        <f>B9/100</f>
        <v>0.99</v>
      </c>
      <c r="C25" s="142"/>
      <c r="R25" s="46">
        <f t="shared" si="4"/>
        <v>-1.3333333333333339</v>
      </c>
      <c r="S25" s="80">
        <f t="shared" si="0"/>
        <v>0.16401007467599349</v>
      </c>
      <c r="T25" s="80">
        <f t="shared" si="1"/>
        <v>9.1211219725867779E-2</v>
      </c>
      <c r="W25" s="46">
        <f t="shared" si="5"/>
        <v>-5.7243603630235782</v>
      </c>
      <c r="X25" s="81">
        <f t="shared" si="2"/>
        <v>3.0574811636896067E-8</v>
      </c>
      <c r="Z25" s="46">
        <f t="shared" si="6"/>
        <v>5.7243603630235782</v>
      </c>
      <c r="AA25" s="81">
        <f t="shared" si="3"/>
        <v>3.0574811636896067E-8</v>
      </c>
    </row>
    <row r="26" spans="1:27" ht="14" customHeight="1" x14ac:dyDescent="0.15">
      <c r="A26" s="33" t="s">
        <v>72</v>
      </c>
      <c r="B26" s="132">
        <f>B23/B24^0.5</f>
        <v>1.1107082686280868E-2</v>
      </c>
      <c r="C26" s="32"/>
      <c r="D26" s="65"/>
      <c r="E26" s="65"/>
      <c r="F26" s="65"/>
      <c r="R26" s="46">
        <f t="shared" si="4"/>
        <v>-1.2000000000000006</v>
      </c>
      <c r="S26" s="80">
        <f t="shared" si="0"/>
        <v>0.19418605498321281</v>
      </c>
      <c r="T26" s="80">
        <f t="shared" si="1"/>
        <v>0.1150696702217081</v>
      </c>
      <c r="W26" s="46">
        <f t="shared" si="5"/>
        <v>-5.8105783811747571</v>
      </c>
      <c r="X26" s="81">
        <f t="shared" si="2"/>
        <v>1.8595446554561217E-8</v>
      </c>
      <c r="Z26" s="46">
        <f t="shared" si="6"/>
        <v>5.8105783811747571</v>
      </c>
      <c r="AA26" s="81">
        <f t="shared" si="3"/>
        <v>1.8595446554561217E-8</v>
      </c>
    </row>
    <row r="27" spans="1:27" ht="14" customHeight="1" x14ac:dyDescent="0.15">
      <c r="A27" s="77" t="s">
        <v>129</v>
      </c>
      <c r="B27" s="132">
        <f>ABS(_xlfn.NORM.S.INV((1-B25)/2))</f>
        <v>2.5758293035488999</v>
      </c>
      <c r="C27" s="32"/>
      <c r="R27" s="46">
        <f t="shared" si="4"/>
        <v>-1.0666666666666673</v>
      </c>
      <c r="S27" s="80">
        <f t="shared" si="0"/>
        <v>0.2258628274671243</v>
      </c>
      <c r="T27" s="80">
        <f t="shared" si="1"/>
        <v>0.14306119219550886</v>
      </c>
      <c r="U27">
        <v>-1</v>
      </c>
      <c r="W27" s="46">
        <f t="shared" si="5"/>
        <v>-5.896796399325936</v>
      </c>
      <c r="X27" s="81">
        <f t="shared" si="2"/>
        <v>1.1225897840161029E-8</v>
      </c>
      <c r="Z27" s="46">
        <f t="shared" si="6"/>
        <v>5.896796399325936</v>
      </c>
      <c r="AA27" s="81">
        <f t="shared" si="3"/>
        <v>1.1225897840161029E-8</v>
      </c>
    </row>
    <row r="28" spans="1:27" ht="14" customHeight="1" x14ac:dyDescent="0.15">
      <c r="A28" s="136" t="s">
        <v>126</v>
      </c>
      <c r="B28" s="137">
        <f>B27*B26</f>
        <v>2.8609949060262894E-2</v>
      </c>
      <c r="C28" s="32"/>
      <c r="D28" s="64"/>
      <c r="E28" s="65">
        <f>1.96^2</f>
        <v>3.8415999999999997</v>
      </c>
      <c r="F28" s="64"/>
      <c r="G28">
        <f>E28*E29/E30</f>
        <v>29.641975308641971</v>
      </c>
      <c r="R28" s="46">
        <f t="shared" si="4"/>
        <v>-0.93333333333333401</v>
      </c>
      <c r="S28" s="80">
        <f t="shared" si="0"/>
        <v>0.25807782590323747</v>
      </c>
      <c r="T28" s="80">
        <f t="shared" si="1"/>
        <v>0.17532394485222932</v>
      </c>
      <c r="W28" s="46">
        <f t="shared" si="5"/>
        <v>-5.9830144174771149</v>
      </c>
      <c r="X28" s="81">
        <f t="shared" si="2"/>
        <v>6.7267797941073288E-9</v>
      </c>
      <c r="Z28" s="46">
        <f t="shared" si="6"/>
        <v>5.9830144174771149</v>
      </c>
      <c r="AA28" s="81">
        <f t="shared" si="3"/>
        <v>6.7267797941073288E-9</v>
      </c>
    </row>
    <row r="29" spans="1:27" ht="14" customHeight="1" x14ac:dyDescent="0.15">
      <c r="A29" s="136" t="s">
        <v>127</v>
      </c>
      <c r="B29" s="137">
        <f>B22-B28</f>
        <v>0.68139005093973704</v>
      </c>
      <c r="C29" s="32"/>
      <c r="E29">
        <f>2.5^2</f>
        <v>6.25</v>
      </c>
      <c r="R29" s="46">
        <f t="shared" si="4"/>
        <v>-0.80000000000000071</v>
      </c>
      <c r="S29" s="80">
        <f t="shared" si="0"/>
        <v>0.28969155276148256</v>
      </c>
      <c r="T29" s="80">
        <f t="shared" si="1"/>
        <v>0.21185539858339644</v>
      </c>
      <c r="W29" s="46">
        <f t="shared" si="5"/>
        <v>-6.0692324356282938</v>
      </c>
      <c r="X29" s="81">
        <f t="shared" si="2"/>
        <v>4.0009671720311549E-9</v>
      </c>
      <c r="Z29" s="46">
        <f t="shared" si="6"/>
        <v>6.0692324356282938</v>
      </c>
      <c r="AA29" s="81">
        <f t="shared" si="3"/>
        <v>4.0009671720311549E-9</v>
      </c>
    </row>
    <row r="30" spans="1:27" ht="14" customHeight="1" x14ac:dyDescent="0.15">
      <c r="A30" s="136" t="s">
        <v>128</v>
      </c>
      <c r="B30" s="137">
        <f>B22+B28</f>
        <v>0.73860994906026289</v>
      </c>
      <c r="C30" s="32"/>
      <c r="D30" s="65"/>
      <c r="E30" s="65">
        <f>0.9^2</f>
        <v>0.81</v>
      </c>
      <c r="F30" s="65"/>
      <c r="G30">
        <f>1.96*SQRT(E29/30)</f>
        <v>0.8946135105917713</v>
      </c>
      <c r="R30" s="46">
        <f t="shared" si="4"/>
        <v>-0.66666666666666741</v>
      </c>
      <c r="S30" s="80">
        <f t="shared" si="0"/>
        <v>0.31944800552235209</v>
      </c>
      <c r="T30" s="80">
        <f t="shared" si="1"/>
        <v>0.25249253754692264</v>
      </c>
      <c r="W30" s="46">
        <f t="shared" si="5"/>
        <v>-6.1554504537794728</v>
      </c>
      <c r="X30" s="81">
        <f t="shared" si="2"/>
        <v>2.3620789901428438E-9</v>
      </c>
      <c r="Z30" s="46">
        <f t="shared" si="6"/>
        <v>6.1554504537794728</v>
      </c>
      <c r="AA30" s="81">
        <f t="shared" si="3"/>
        <v>2.3620789901428438E-9</v>
      </c>
    </row>
    <row r="31" spans="1:27" ht="14" customHeight="1" x14ac:dyDescent="0.15">
      <c r="D31" s="65"/>
      <c r="E31" s="65"/>
      <c r="F31" s="65"/>
      <c r="G31">
        <f>1.96*2.5/SQRT(30)</f>
        <v>0.89461351059177141</v>
      </c>
      <c r="R31" s="46">
        <f t="shared" si="4"/>
        <v>-0.5333333333333341</v>
      </c>
      <c r="S31" s="80">
        <f t="shared" si="0"/>
        <v>0.34605389317692276</v>
      </c>
      <c r="T31" s="80">
        <f t="shared" si="1"/>
        <v>0.29690142860385094</v>
      </c>
      <c r="W31" s="46">
        <f t="shared" si="5"/>
        <v>-6.2416684719306517</v>
      </c>
      <c r="X31" s="81">
        <f t="shared" si="2"/>
        <v>1.3841893300317018E-9</v>
      </c>
      <c r="Z31" s="46">
        <f t="shared" si="6"/>
        <v>6.2416684719306517</v>
      </c>
      <c r="AA31" s="81">
        <f t="shared" si="3"/>
        <v>1.3841893300317018E-9</v>
      </c>
    </row>
    <row r="32" spans="1:27" ht="13" customHeight="1" x14ac:dyDescent="0.15">
      <c r="R32" s="46">
        <f t="shared" si="4"/>
        <v>-0.4000000000000008</v>
      </c>
      <c r="S32" s="80">
        <f t="shared" si="0"/>
        <v>0.36827014030332322</v>
      </c>
      <c r="T32" s="80">
        <f t="shared" si="1"/>
        <v>0.34457825838967548</v>
      </c>
      <c r="W32" s="46">
        <f t="shared" si="5"/>
        <v>-6.3278864900818306</v>
      </c>
      <c r="X32" s="81">
        <f t="shared" si="2"/>
        <v>8.0513411581915812E-10</v>
      </c>
      <c r="Z32" s="46">
        <f t="shared" si="6"/>
        <v>6.3278864900818306</v>
      </c>
      <c r="AA32" s="81">
        <f t="shared" si="3"/>
        <v>8.0513411581915812E-10</v>
      </c>
    </row>
    <row r="33" spans="2:27" ht="13" customHeight="1" x14ac:dyDescent="0.15">
      <c r="R33" s="46">
        <f t="shared" si="4"/>
        <v>-0.2666666666666675</v>
      </c>
      <c r="S33" s="80">
        <f t="shared" si="0"/>
        <v>0.3850068745960139</v>
      </c>
      <c r="T33" s="80">
        <f t="shared" si="1"/>
        <v>0.39486291046402483</v>
      </c>
      <c r="W33" s="46">
        <f t="shared" si="5"/>
        <v>-6.4141045082330095</v>
      </c>
      <c r="X33" s="81">
        <f t="shared" si="2"/>
        <v>4.6484976225462E-10</v>
      </c>
      <c r="Z33" s="46">
        <f t="shared" si="6"/>
        <v>6.4141045082330095</v>
      </c>
      <c r="AA33" s="81">
        <f t="shared" si="3"/>
        <v>4.6484976225462E-10</v>
      </c>
    </row>
    <row r="34" spans="2:27" ht="13" customHeight="1" x14ac:dyDescent="0.15">
      <c r="B34">
        <f>SQRT(0.6*0.4)</f>
        <v>0.4898979485566356</v>
      </c>
      <c r="E34" s="18">
        <f>0.25*0.75</f>
        <v>0.1875</v>
      </c>
      <c r="R34" s="46">
        <f t="shared" si="4"/>
        <v>-0.13333333333333416</v>
      </c>
      <c r="S34" s="80">
        <f t="shared" si="0"/>
        <v>0.39541184088581766</v>
      </c>
      <c r="T34" s="80">
        <f t="shared" si="1"/>
        <v>0.44696488337638568</v>
      </c>
      <c r="W34" s="46">
        <f t="shared" si="5"/>
        <v>-6.5003225263841884</v>
      </c>
      <c r="X34" s="81">
        <f t="shared" si="2"/>
        <v>2.6639658225611919E-10</v>
      </c>
      <c r="Z34" s="46">
        <f t="shared" si="6"/>
        <v>6.5003225263841884</v>
      </c>
      <c r="AA34" s="81">
        <f t="shared" si="3"/>
        <v>2.6639658225611919E-10</v>
      </c>
    </row>
    <row r="35" spans="2:27" ht="13" customHeight="1" x14ac:dyDescent="0.15">
      <c r="R35" s="46">
        <f t="shared" si="4"/>
        <v>-8.3266726846886741E-16</v>
      </c>
      <c r="S35" s="80">
        <f t="shared" si="0"/>
        <v>0.3989422804014327</v>
      </c>
      <c r="T35" s="80">
        <f t="shared" si="1"/>
        <v>0.49999999999999967</v>
      </c>
      <c r="U35">
        <v>0</v>
      </c>
      <c r="W35" s="46">
        <f t="shared" si="5"/>
        <v>-6.5865405445353673</v>
      </c>
      <c r="X35" s="81">
        <f t="shared" si="2"/>
        <v>1.5153618030309598E-10</v>
      </c>
      <c r="Z35" s="46">
        <f t="shared" si="6"/>
        <v>6.5865405445353673</v>
      </c>
      <c r="AA35" s="81">
        <f t="shared" si="3"/>
        <v>1.5153618030309598E-10</v>
      </c>
    </row>
    <row r="36" spans="2:27" ht="13" customHeight="1" x14ac:dyDescent="0.15">
      <c r="R36" s="46">
        <f t="shared" si="4"/>
        <v>0.1333333333333325</v>
      </c>
      <c r="S36" s="80">
        <f t="shared" si="0"/>
        <v>0.39541184088581777</v>
      </c>
      <c r="T36" s="80">
        <f t="shared" si="1"/>
        <v>0.55303511662361371</v>
      </c>
      <c r="W36" s="46">
        <f t="shared" si="5"/>
        <v>-6.6727585626865462</v>
      </c>
      <c r="X36" s="81">
        <f t="shared" si="2"/>
        <v>8.5560965169845804E-11</v>
      </c>
      <c r="Z36" s="46">
        <f t="shared" si="6"/>
        <v>6.6727585626865462</v>
      </c>
      <c r="AA36" s="81">
        <f t="shared" si="3"/>
        <v>8.5560965169845804E-11</v>
      </c>
    </row>
    <row r="37" spans="2:27" ht="13" customHeight="1" x14ac:dyDescent="0.15">
      <c r="R37" s="46">
        <f t="shared" si="4"/>
        <v>0.26666666666666583</v>
      </c>
      <c r="S37" s="80">
        <f t="shared" ref="S37:S65" si="7">_xlfn.NORM.DIST(R37,0,1,FALSE)</f>
        <v>0.38500687459601407</v>
      </c>
      <c r="T37" s="80">
        <f t="shared" ref="T37:T65" si="8">_xlfn.NORM.DIST(R37,0,1,TRUE)</f>
        <v>0.60513708953597456</v>
      </c>
      <c r="W37" s="46">
        <f t="shared" si="5"/>
        <v>-6.7589765808377251</v>
      </c>
      <c r="X37" s="81">
        <f t="shared" ref="X37:X65" si="9">_xlfn.NORM.DIST(W37,0,1,FALSE)</f>
        <v>4.7951993382296222E-11</v>
      </c>
      <c r="Z37" s="46">
        <f t="shared" si="6"/>
        <v>6.7589765808377251</v>
      </c>
      <c r="AA37" s="81">
        <f t="shared" ref="AA37:AA65" si="10">_xlfn.NORM.DIST(Z37,0,1,FALSE)</f>
        <v>4.7951993382296222E-11</v>
      </c>
    </row>
    <row r="38" spans="2:27" ht="13" customHeight="1" x14ac:dyDescent="0.15">
      <c r="R38" s="46">
        <f t="shared" ref="R38:R65" si="11">8/60+R37</f>
        <v>0.39999999999999913</v>
      </c>
      <c r="S38" s="80">
        <f t="shared" si="7"/>
        <v>0.36827014030332345</v>
      </c>
      <c r="T38" s="80">
        <f t="shared" si="8"/>
        <v>0.65542174161032385</v>
      </c>
      <c r="W38" s="46">
        <f t="shared" ref="W38:W65" si="12">($V$5-$W$5)/60+W37</f>
        <v>-6.845194598988904</v>
      </c>
      <c r="X38" s="81">
        <f t="shared" si="9"/>
        <v>2.6675299735925074E-11</v>
      </c>
      <c r="Z38" s="46">
        <f t="shared" ref="Z38:Z65" si="13">($Y$5-$Z$5)/60+Z37</f>
        <v>6.845194598988904</v>
      </c>
      <c r="AA38" s="81">
        <f t="shared" si="10"/>
        <v>2.6675299735925074E-11</v>
      </c>
    </row>
    <row r="39" spans="2:27" ht="13" customHeight="1" x14ac:dyDescent="0.15">
      <c r="R39" s="46">
        <f t="shared" si="11"/>
        <v>0.53333333333333244</v>
      </c>
      <c r="S39" s="80">
        <f t="shared" si="7"/>
        <v>0.34605389317692309</v>
      </c>
      <c r="T39" s="80">
        <f t="shared" si="8"/>
        <v>0.70309857139614851</v>
      </c>
      <c r="W39" s="46">
        <f t="shared" si="12"/>
        <v>-6.9314126171400829</v>
      </c>
      <c r="X39" s="81">
        <f t="shared" si="9"/>
        <v>1.4729350682400612E-11</v>
      </c>
      <c r="Z39" s="46">
        <f t="shared" si="13"/>
        <v>6.9314126171400829</v>
      </c>
      <c r="AA39" s="81">
        <f t="shared" si="10"/>
        <v>1.4729350682400612E-11</v>
      </c>
    </row>
    <row r="40" spans="2:27" ht="13" customHeight="1" x14ac:dyDescent="0.15">
      <c r="R40" s="46">
        <f t="shared" si="11"/>
        <v>0.66666666666666574</v>
      </c>
      <c r="S40" s="80">
        <f t="shared" si="7"/>
        <v>0.31944800552235242</v>
      </c>
      <c r="T40" s="80">
        <f t="shared" si="8"/>
        <v>0.74750746245307687</v>
      </c>
      <c r="W40" s="46">
        <f t="shared" si="12"/>
        <v>-7.0176306352912619</v>
      </c>
      <c r="X40" s="81">
        <f t="shared" si="9"/>
        <v>8.0728995371597087E-12</v>
      </c>
      <c r="Z40" s="46">
        <f t="shared" si="13"/>
        <v>7.0176306352912619</v>
      </c>
      <c r="AA40" s="81">
        <f t="shared" si="10"/>
        <v>8.0728995371597087E-12</v>
      </c>
    </row>
    <row r="41" spans="2:27" ht="13" customHeight="1" x14ac:dyDescent="0.15">
      <c r="R41" s="46">
        <f t="shared" si="11"/>
        <v>0.79999999999999905</v>
      </c>
      <c r="S41" s="80">
        <f t="shared" si="7"/>
        <v>0.28969155276148301</v>
      </c>
      <c r="T41" s="80">
        <f t="shared" si="8"/>
        <v>0.78814460141660292</v>
      </c>
      <c r="W41" s="46">
        <f t="shared" si="12"/>
        <v>-7.1038486534424408</v>
      </c>
      <c r="X41" s="81">
        <f t="shared" si="9"/>
        <v>4.3918464276590133E-12</v>
      </c>
      <c r="Z41" s="46">
        <f t="shared" si="13"/>
        <v>7.1038486534424408</v>
      </c>
      <c r="AA41" s="81">
        <f t="shared" si="10"/>
        <v>4.3918464276590133E-12</v>
      </c>
    </row>
    <row r="42" spans="2:27" ht="13" customHeight="1" x14ac:dyDescent="0.15">
      <c r="R42" s="46">
        <f t="shared" si="11"/>
        <v>0.93333333333333235</v>
      </c>
      <c r="S42" s="80">
        <f t="shared" si="7"/>
        <v>0.25807782590323791</v>
      </c>
      <c r="T42" s="80">
        <f t="shared" si="8"/>
        <v>0.8246760551477702</v>
      </c>
      <c r="W42" s="46">
        <f t="shared" si="12"/>
        <v>-7.1900666715936197</v>
      </c>
      <c r="X42" s="81">
        <f t="shared" si="9"/>
        <v>2.3715724395407062E-12</v>
      </c>
      <c r="Z42" s="46">
        <f t="shared" si="13"/>
        <v>7.1900666715936197</v>
      </c>
      <c r="AA42" s="81">
        <f t="shared" si="10"/>
        <v>2.3715724395407062E-12</v>
      </c>
    </row>
    <row r="43" spans="2:27" ht="13" customHeight="1" x14ac:dyDescent="0.15">
      <c r="R43" s="46">
        <f t="shared" si="11"/>
        <v>1.0666666666666658</v>
      </c>
      <c r="S43" s="80">
        <f t="shared" si="7"/>
        <v>0.22586282746712472</v>
      </c>
      <c r="T43" s="80">
        <f t="shared" si="8"/>
        <v>0.85693880780449083</v>
      </c>
      <c r="U43">
        <v>1</v>
      </c>
      <c r="W43" s="46">
        <f t="shared" si="12"/>
        <v>-7.2762846897447986</v>
      </c>
      <c r="X43" s="81">
        <f t="shared" si="9"/>
        <v>1.2711514453791758E-12</v>
      </c>
      <c r="Z43" s="46">
        <f t="shared" si="13"/>
        <v>7.2762846897447986</v>
      </c>
      <c r="AA43" s="81">
        <f t="shared" si="10"/>
        <v>1.2711514453791758E-12</v>
      </c>
    </row>
    <row r="44" spans="2:27" ht="13" customHeight="1" x14ac:dyDescent="0.15">
      <c r="R44" s="46">
        <f t="shared" si="11"/>
        <v>1.1999999999999991</v>
      </c>
      <c r="S44" s="80">
        <f t="shared" si="7"/>
        <v>0.19418605498321317</v>
      </c>
      <c r="T44" s="80">
        <f t="shared" si="8"/>
        <v>0.88493032977829156</v>
      </c>
      <c r="W44" s="46">
        <f t="shared" si="12"/>
        <v>-7.3625027078959775</v>
      </c>
      <c r="X44" s="81">
        <f t="shared" si="9"/>
        <v>6.7628514539413816E-13</v>
      </c>
      <c r="Z44" s="46">
        <f t="shared" si="13"/>
        <v>7.3625027078959775</v>
      </c>
      <c r="AA44" s="81">
        <f t="shared" si="10"/>
        <v>6.7628514539413816E-13</v>
      </c>
    </row>
    <row r="45" spans="2:27" ht="13" customHeight="1" x14ac:dyDescent="0.15">
      <c r="R45" s="46">
        <f t="shared" si="11"/>
        <v>1.3333333333333324</v>
      </c>
      <c r="S45" s="80">
        <f t="shared" si="7"/>
        <v>0.16401007467599382</v>
      </c>
      <c r="T45" s="80">
        <f t="shared" si="8"/>
        <v>0.90878878027413201</v>
      </c>
      <c r="W45" s="46">
        <f t="shared" si="12"/>
        <v>-7.4487207260471564</v>
      </c>
      <c r="X45" s="81">
        <f t="shared" si="9"/>
        <v>3.5713634741032575E-13</v>
      </c>
      <c r="Z45" s="46">
        <f t="shared" si="13"/>
        <v>7.4487207260471564</v>
      </c>
      <c r="AA45" s="81">
        <f t="shared" si="10"/>
        <v>3.5713634741032575E-13</v>
      </c>
    </row>
    <row r="46" spans="2:27" ht="13" customHeight="1" x14ac:dyDescent="0.15">
      <c r="R46" s="46">
        <f t="shared" si="11"/>
        <v>1.4666666666666657</v>
      </c>
      <c r="S46" s="80">
        <f t="shared" si="7"/>
        <v>0.13608248241227827</v>
      </c>
      <c r="T46" s="80">
        <f t="shared" si="8"/>
        <v>0.92876662258601383</v>
      </c>
      <c r="W46" s="46">
        <f t="shared" si="12"/>
        <v>-7.5349387441983353</v>
      </c>
      <c r="X46" s="81">
        <f t="shared" si="9"/>
        <v>1.8720175187295784E-13</v>
      </c>
      <c r="Z46" s="46">
        <f t="shared" si="13"/>
        <v>7.5349387441983353</v>
      </c>
      <c r="AA46" s="81">
        <f t="shared" si="10"/>
        <v>1.8720175187295784E-13</v>
      </c>
    </row>
    <row r="47" spans="2:27" ht="13" customHeight="1" x14ac:dyDescent="0.15">
      <c r="R47" s="46">
        <f t="shared" si="11"/>
        <v>1.599999999999999</v>
      </c>
      <c r="S47" s="80">
        <f t="shared" si="7"/>
        <v>0.11092083467945574</v>
      </c>
      <c r="T47" s="80">
        <f t="shared" si="8"/>
        <v>0.94520070830044189</v>
      </c>
      <c r="W47" s="46">
        <f t="shared" si="12"/>
        <v>-7.6211567623495142</v>
      </c>
      <c r="X47" s="81">
        <f t="shared" si="9"/>
        <v>9.7399654513526304E-14</v>
      </c>
      <c r="Z47" s="46">
        <f t="shared" si="13"/>
        <v>7.6211567623495142</v>
      </c>
      <c r="AA47" s="81">
        <f t="shared" si="10"/>
        <v>9.7399654513526304E-14</v>
      </c>
    </row>
    <row r="48" spans="2:27" ht="13" customHeight="1" x14ac:dyDescent="0.15">
      <c r="R48" s="46">
        <f t="shared" si="11"/>
        <v>1.7333333333333323</v>
      </c>
      <c r="S48" s="80">
        <f t="shared" si="7"/>
        <v>8.8818461090592035E-2</v>
      </c>
      <c r="T48" s="80">
        <f t="shared" si="8"/>
        <v>0.95848178031122078</v>
      </c>
      <c r="W48" s="46">
        <f t="shared" si="12"/>
        <v>-7.7073747805006931</v>
      </c>
      <c r="X48" s="81">
        <f t="shared" si="9"/>
        <v>5.0300994996719735E-14</v>
      </c>
      <c r="Z48" s="46">
        <f t="shared" si="13"/>
        <v>7.7073747805006931</v>
      </c>
      <c r="AA48" s="81">
        <f t="shared" si="10"/>
        <v>5.0300994996719735E-14</v>
      </c>
    </row>
    <row r="49" spans="1:27" ht="13" customHeight="1" x14ac:dyDescent="0.15">
      <c r="R49" s="46">
        <f t="shared" si="11"/>
        <v>1.8666666666666656</v>
      </c>
      <c r="S49" s="80">
        <f t="shared" si="7"/>
        <v>6.9867076070915329E-2</v>
      </c>
      <c r="T49" s="80">
        <f t="shared" si="8"/>
        <v>0.96902592429325929</v>
      </c>
      <c r="W49" s="46">
        <f t="shared" si="12"/>
        <v>-7.793592798651872</v>
      </c>
      <c r="X49" s="81">
        <f t="shared" si="9"/>
        <v>2.5785014919306684E-14</v>
      </c>
      <c r="Z49" s="46">
        <f t="shared" si="13"/>
        <v>7.793592798651872</v>
      </c>
      <c r="AA49" s="81">
        <f t="shared" si="10"/>
        <v>2.5785014919306684E-14</v>
      </c>
    </row>
    <row r="50" spans="1:27" ht="13" customHeight="1" x14ac:dyDescent="0.15">
      <c r="R50" s="46">
        <f t="shared" si="11"/>
        <v>1.9999999999999989</v>
      </c>
      <c r="S50" s="80">
        <f t="shared" si="7"/>
        <v>5.3990966513188167E-2</v>
      </c>
      <c r="T50" s="80">
        <f t="shared" si="8"/>
        <v>0.97724986805182068</v>
      </c>
      <c r="U50">
        <v>2</v>
      </c>
      <c r="W50" s="46">
        <f t="shared" si="12"/>
        <v>-7.879810816803051</v>
      </c>
      <c r="X50" s="81">
        <f t="shared" si="9"/>
        <v>1.3119879609948304E-14</v>
      </c>
      <c r="Z50" s="46">
        <f t="shared" si="13"/>
        <v>7.879810816803051</v>
      </c>
      <c r="AA50" s="81">
        <f t="shared" si="10"/>
        <v>1.3119879609948304E-14</v>
      </c>
    </row>
    <row r="51" spans="1:27" ht="13" customHeight="1" x14ac:dyDescent="0.15">
      <c r="R51" s="46">
        <f t="shared" si="11"/>
        <v>2.1333333333333324</v>
      </c>
      <c r="S51" s="80">
        <f t="shared" si="7"/>
        <v>4.098725604522227E-2</v>
      </c>
      <c r="T51" s="80">
        <f t="shared" si="8"/>
        <v>0.98355130417725467</v>
      </c>
      <c r="W51" s="46">
        <f t="shared" si="12"/>
        <v>-7.9660288349542299</v>
      </c>
      <c r="X51" s="81">
        <f t="shared" si="9"/>
        <v>6.626191216974852E-15</v>
      </c>
      <c r="Z51" s="46">
        <f t="shared" si="13"/>
        <v>7.9660288349542299</v>
      </c>
      <c r="AA51" s="81">
        <f t="shared" si="10"/>
        <v>6.626191216974852E-15</v>
      </c>
    </row>
    <row r="52" spans="1:27" ht="13" customHeight="1" x14ac:dyDescent="0.15">
      <c r="R52" s="46">
        <f t="shared" si="11"/>
        <v>2.2666666666666657</v>
      </c>
      <c r="S52" s="80">
        <f t="shared" si="7"/>
        <v>3.0567209727885538E-2</v>
      </c>
      <c r="T52" s="80">
        <f t="shared" si="8"/>
        <v>0.98829470191944169</v>
      </c>
      <c r="W52" s="46">
        <f t="shared" si="12"/>
        <v>-8.0522468531054088</v>
      </c>
      <c r="X52" s="81">
        <f t="shared" si="9"/>
        <v>3.3217713175443593E-15</v>
      </c>
      <c r="Z52" s="46">
        <f t="shared" si="13"/>
        <v>8.0522468531054088</v>
      </c>
      <c r="AA52" s="81">
        <f t="shared" si="10"/>
        <v>3.3217713175443593E-15</v>
      </c>
    </row>
    <row r="53" spans="1:27" ht="13" customHeight="1" x14ac:dyDescent="0.15">
      <c r="R53" s="46">
        <f t="shared" si="11"/>
        <v>2.399999999999999</v>
      </c>
      <c r="S53" s="80">
        <f t="shared" si="7"/>
        <v>2.2394530294842948E-2</v>
      </c>
      <c r="T53" s="80">
        <f t="shared" si="8"/>
        <v>0.99180246407540384</v>
      </c>
      <c r="W53" s="46">
        <f t="shared" si="12"/>
        <v>-8.1384648712565877</v>
      </c>
      <c r="X53" s="81">
        <f t="shared" si="9"/>
        <v>1.6529021660047056E-15</v>
      </c>
      <c r="Z53" s="46">
        <f t="shared" si="13"/>
        <v>8.1384648712565877</v>
      </c>
      <c r="AA53" s="81">
        <f t="shared" si="10"/>
        <v>1.6529021660047056E-15</v>
      </c>
    </row>
    <row r="54" spans="1:27" ht="13" customHeight="1" x14ac:dyDescent="0.15">
      <c r="R54" s="46">
        <f t="shared" si="11"/>
        <v>2.5333333333333323</v>
      </c>
      <c r="S54" s="80">
        <f t="shared" si="7"/>
        <v>1.6117858113649026E-2</v>
      </c>
      <c r="T54" s="80">
        <f t="shared" si="8"/>
        <v>0.99435082724443935</v>
      </c>
      <c r="W54" s="46">
        <f t="shared" si="12"/>
        <v>-8.2246828894077666</v>
      </c>
      <c r="X54" s="81">
        <f t="shared" si="9"/>
        <v>8.1638725943777088E-16</v>
      </c>
      <c r="Z54" s="46">
        <f t="shared" si="13"/>
        <v>8.2246828894077666</v>
      </c>
      <c r="AA54" s="81">
        <f t="shared" si="10"/>
        <v>8.1638725943777088E-16</v>
      </c>
    </row>
    <row r="55" spans="1:27" ht="13" customHeight="1" x14ac:dyDescent="0.15">
      <c r="R55" s="46">
        <f t="shared" si="11"/>
        <v>2.6666666666666656</v>
      </c>
      <c r="S55" s="80">
        <f t="shared" si="7"/>
        <v>1.1395986023797473E-2</v>
      </c>
      <c r="T55" s="80">
        <f t="shared" si="8"/>
        <v>0.99616961943241022</v>
      </c>
      <c r="W55" s="46">
        <f t="shared" si="12"/>
        <v>-8.3109009075589455</v>
      </c>
      <c r="X55" s="81">
        <f t="shared" si="9"/>
        <v>4.0023672840204023E-16</v>
      </c>
      <c r="Z55" s="46">
        <f t="shared" si="13"/>
        <v>8.3109009075589455</v>
      </c>
      <c r="AA55" s="81">
        <f t="shared" si="10"/>
        <v>4.0023672840204023E-16</v>
      </c>
    </row>
    <row r="56" spans="1:27" ht="13" customHeight="1" x14ac:dyDescent="0.15">
      <c r="R56" s="46">
        <f t="shared" si="11"/>
        <v>2.7999999999999989</v>
      </c>
      <c r="S56" s="80">
        <f t="shared" si="7"/>
        <v>7.9154515829799894E-3</v>
      </c>
      <c r="T56" s="80">
        <f t="shared" si="8"/>
        <v>0.99744486966957202</v>
      </c>
      <c r="W56" s="46">
        <f t="shared" si="12"/>
        <v>-8.3971189257101244</v>
      </c>
      <c r="X56" s="81">
        <f t="shared" si="9"/>
        <v>1.947642814783563E-16</v>
      </c>
      <c r="Z56" s="46">
        <f t="shared" si="13"/>
        <v>8.3971189257101244</v>
      </c>
      <c r="AA56" s="81">
        <f t="shared" si="10"/>
        <v>1.947642814783563E-16</v>
      </c>
    </row>
    <row r="57" spans="1:27" ht="13" customHeight="1" x14ac:dyDescent="0.15">
      <c r="R57" s="46">
        <f t="shared" si="11"/>
        <v>2.9333333333333322</v>
      </c>
      <c r="S57" s="80">
        <f t="shared" si="7"/>
        <v>5.401056181194395E-3</v>
      </c>
      <c r="T57" s="80">
        <f t="shared" si="8"/>
        <v>0.99832328177252683</v>
      </c>
      <c r="W57" s="46">
        <f t="shared" si="12"/>
        <v>-8.4833369438613033</v>
      </c>
      <c r="X57" s="81">
        <f t="shared" si="9"/>
        <v>9.4074807397404464E-17</v>
      </c>
      <c r="Z57" s="46">
        <f t="shared" si="13"/>
        <v>8.4833369438613033</v>
      </c>
      <c r="AA57" s="81">
        <f t="shared" si="10"/>
        <v>9.4074807397404464E-17</v>
      </c>
    </row>
    <row r="58" spans="1:27" ht="13" customHeight="1" x14ac:dyDescent="0.15">
      <c r="R58" s="46">
        <f t="shared" si="11"/>
        <v>3.0666666666666655</v>
      </c>
      <c r="S58" s="80">
        <f t="shared" si="7"/>
        <v>3.6204362280192995E-3</v>
      </c>
      <c r="T58" s="80">
        <f t="shared" si="8"/>
        <v>0.99891769951860676</v>
      </c>
      <c r="U58">
        <v>3</v>
      </c>
      <c r="W58" s="46">
        <f t="shared" si="12"/>
        <v>-8.5695549620124822</v>
      </c>
      <c r="X58" s="81">
        <f t="shared" si="9"/>
        <v>4.5103372284783983E-17</v>
      </c>
      <c r="Z58" s="46">
        <f t="shared" si="13"/>
        <v>8.5695549620124822</v>
      </c>
      <c r="AA58" s="81">
        <f t="shared" si="10"/>
        <v>4.5103372284783983E-17</v>
      </c>
    </row>
    <row r="59" spans="1:27" ht="13" customHeight="1" x14ac:dyDescent="0.2">
      <c r="A59" s="1" t="s">
        <v>84</v>
      </c>
      <c r="R59" s="46">
        <f t="shared" si="11"/>
        <v>3.1999999999999988</v>
      </c>
      <c r="S59" s="80">
        <f t="shared" si="7"/>
        <v>2.3840882014648512E-3</v>
      </c>
      <c r="T59" s="80">
        <f t="shared" si="8"/>
        <v>0.99931286206208414</v>
      </c>
      <c r="W59" s="46">
        <f t="shared" si="12"/>
        <v>-8.6557729801636611</v>
      </c>
      <c r="X59" s="81">
        <f t="shared" si="9"/>
        <v>2.1464280868991893E-17</v>
      </c>
      <c r="Z59" s="46">
        <f t="shared" si="13"/>
        <v>8.6557729801636611</v>
      </c>
      <c r="AA59" s="81">
        <f t="shared" si="10"/>
        <v>2.1464280868991893E-17</v>
      </c>
    </row>
    <row r="60" spans="1:27" ht="13" customHeight="1" x14ac:dyDescent="0.15">
      <c r="A60" s="77" t="s">
        <v>66</v>
      </c>
      <c r="B60" s="63">
        <v>0.5</v>
      </c>
      <c r="R60" s="46">
        <f t="shared" si="11"/>
        <v>3.3333333333333321</v>
      </c>
      <c r="S60" s="80">
        <f t="shared" si="7"/>
        <v>1.5422789962911121E-3</v>
      </c>
      <c r="T60" s="80">
        <f t="shared" si="8"/>
        <v>0.99957093966680322</v>
      </c>
      <c r="W60" s="46">
        <f t="shared" si="12"/>
        <v>-8.7419909983148401</v>
      </c>
      <c r="X60" s="81">
        <f t="shared" si="9"/>
        <v>1.0139004657947473E-17</v>
      </c>
      <c r="Z60" s="46">
        <f t="shared" si="13"/>
        <v>8.7419909983148401</v>
      </c>
      <c r="AA60" s="81">
        <f t="shared" si="10"/>
        <v>1.0139004657947473E-17</v>
      </c>
    </row>
    <row r="61" spans="1:27" ht="13" customHeight="1" x14ac:dyDescent="0.15">
      <c r="A61" s="77" t="s">
        <v>98</v>
      </c>
      <c r="B61" s="63">
        <v>0.05</v>
      </c>
      <c r="R61" s="46">
        <f t="shared" si="11"/>
        <v>3.4666666666666655</v>
      </c>
      <c r="S61" s="80">
        <f t="shared" si="7"/>
        <v>9.8012796127537626E-4</v>
      </c>
      <c r="T61" s="80">
        <f t="shared" si="8"/>
        <v>0.9997365225344047</v>
      </c>
      <c r="W61" s="46">
        <f t="shared" si="12"/>
        <v>-8.828209016466019</v>
      </c>
      <c r="X61" s="81">
        <f t="shared" si="9"/>
        <v>4.7538552549986399E-18</v>
      </c>
      <c r="Z61" s="46">
        <f t="shared" si="13"/>
        <v>8.828209016466019</v>
      </c>
      <c r="AA61" s="81">
        <f t="shared" si="10"/>
        <v>4.7538552549986399E-18</v>
      </c>
    </row>
    <row r="62" spans="1:27" ht="13" customHeight="1" x14ac:dyDescent="0.15">
      <c r="A62" s="77" t="s">
        <v>71</v>
      </c>
      <c r="B62" s="63">
        <v>100</v>
      </c>
      <c r="R62" s="46">
        <f t="shared" si="11"/>
        <v>3.5999999999999988</v>
      </c>
      <c r="S62" s="80">
        <f t="shared" si="7"/>
        <v>6.1190193011377515E-4</v>
      </c>
      <c r="T62" s="80">
        <f t="shared" si="8"/>
        <v>0.99984089140984245</v>
      </c>
      <c r="W62" s="46">
        <f t="shared" si="12"/>
        <v>-8.9144270346171979</v>
      </c>
      <c r="X62" s="81">
        <f t="shared" si="9"/>
        <v>2.2124233714585937E-18</v>
      </c>
      <c r="Z62" s="46">
        <f t="shared" si="13"/>
        <v>8.9144270346171979</v>
      </c>
      <c r="AA62" s="81">
        <f t="shared" si="10"/>
        <v>2.2124233714585937E-18</v>
      </c>
    </row>
    <row r="63" spans="1:27" ht="13" customHeight="1" x14ac:dyDescent="0.15">
      <c r="A63" s="77" t="s">
        <v>59</v>
      </c>
      <c r="B63" s="63">
        <v>0.56000000000000005</v>
      </c>
      <c r="R63" s="46">
        <f t="shared" si="11"/>
        <v>3.7333333333333321</v>
      </c>
      <c r="S63" s="80">
        <f t="shared" si="7"/>
        <v>3.7528402371763201E-4</v>
      </c>
      <c r="T63" s="80">
        <f t="shared" si="8"/>
        <v>0.99990551887519563</v>
      </c>
      <c r="W63" s="46">
        <f t="shared" si="12"/>
        <v>-9.0006450527683768</v>
      </c>
      <c r="X63" s="81">
        <f t="shared" si="9"/>
        <v>1.0220265375400277E-18</v>
      </c>
      <c r="Z63" s="46">
        <f t="shared" si="13"/>
        <v>9.0006450527683768</v>
      </c>
      <c r="AA63" s="81">
        <f t="shared" si="10"/>
        <v>1.0220265375400277E-18</v>
      </c>
    </row>
    <row r="64" spans="1:27" ht="13" customHeight="1" x14ac:dyDescent="0.15">
      <c r="A64" s="77" t="s">
        <v>1</v>
      </c>
      <c r="B64" s="65">
        <f>B63*(1-B63)</f>
        <v>0.24639999999999998</v>
      </c>
      <c r="R64" s="46">
        <f t="shared" si="11"/>
        <v>3.8666666666666654</v>
      </c>
      <c r="S64" s="80">
        <f t="shared" si="7"/>
        <v>2.2610883840368568E-4</v>
      </c>
      <c r="T64" s="80">
        <f t="shared" si="8"/>
        <v>0.99994483346497276</v>
      </c>
      <c r="W64" s="46">
        <f t="shared" si="12"/>
        <v>-9.0868630709195557</v>
      </c>
      <c r="X64" s="81">
        <f t="shared" si="9"/>
        <v>4.6862748830854974E-19</v>
      </c>
      <c r="Z64" s="46">
        <f t="shared" si="13"/>
        <v>9.0868630709195557</v>
      </c>
      <c r="AA64" s="81">
        <f t="shared" si="10"/>
        <v>4.6862748830854974E-19</v>
      </c>
    </row>
    <row r="65" spans="1:27" ht="13" customHeight="1" x14ac:dyDescent="0.15">
      <c r="A65" s="77" t="s">
        <v>67</v>
      </c>
      <c r="B65" s="65">
        <f>SQRT(B64)</f>
        <v>0.49638694583963422</v>
      </c>
      <c r="R65" s="46">
        <f t="shared" si="11"/>
        <v>3.9999999999999987</v>
      </c>
      <c r="S65" s="80">
        <f t="shared" si="7"/>
        <v>1.3383022576488607E-4</v>
      </c>
      <c r="T65" s="80">
        <f t="shared" si="8"/>
        <v>0.99996832875816688</v>
      </c>
      <c r="U65">
        <v>4</v>
      </c>
      <c r="W65" s="46">
        <f t="shared" si="12"/>
        <v>-9.1730810890707346</v>
      </c>
      <c r="X65" s="81">
        <f t="shared" si="9"/>
        <v>2.1328730067937054E-19</v>
      </c>
      <c r="Z65" s="46">
        <f t="shared" si="13"/>
        <v>9.1730810890707346</v>
      </c>
      <c r="AA65" s="81">
        <f t="shared" si="10"/>
        <v>2.1328730067937054E-19</v>
      </c>
    </row>
    <row r="66" spans="1:27" ht="13" customHeight="1" x14ac:dyDescent="0.15">
      <c r="A66" s="77" t="s">
        <v>95</v>
      </c>
      <c r="B66" s="65">
        <f>((B60*(1-B60)/B62)^0.5)</f>
        <v>0.05</v>
      </c>
    </row>
    <row r="67" spans="1:27" ht="13" customHeight="1" x14ac:dyDescent="0.15">
      <c r="A67" s="77"/>
    </row>
    <row r="68" spans="1:27" ht="13" customHeight="1" x14ac:dyDescent="0.15">
      <c r="A68" s="77" t="s">
        <v>60</v>
      </c>
      <c r="B68" s="64">
        <f>(B63-B60)/B66</f>
        <v>1.2000000000000011</v>
      </c>
    </row>
    <row r="69" spans="1:27" ht="13" customHeight="1" x14ac:dyDescent="0.15">
      <c r="A69" s="77" t="s">
        <v>99</v>
      </c>
      <c r="R69" s="78" t="s">
        <v>15</v>
      </c>
      <c r="T69" s="78" t="s">
        <v>103</v>
      </c>
    </row>
    <row r="70" spans="1:27" ht="13" customHeight="1" x14ac:dyDescent="0.15">
      <c r="A70" s="77" t="s">
        <v>96</v>
      </c>
      <c r="B70" s="65">
        <f>1-_xlfn.NORM.S.DIST(ABS(B68),TRUE)</f>
        <v>0.115069670221708</v>
      </c>
      <c r="R70" t="e">
        <f>zmin</f>
        <v>#REF!</v>
      </c>
    </row>
    <row r="71" spans="1:27" ht="13" customHeight="1" x14ac:dyDescent="0.15">
      <c r="A71" s="77" t="s">
        <v>97</v>
      </c>
      <c r="B71" s="65">
        <f>2*B70</f>
        <v>0.230139340443416</v>
      </c>
    </row>
    <row r="72" spans="1:27" ht="13" customHeight="1" x14ac:dyDescent="0.15"/>
    <row r="73" spans="1:27" ht="13" customHeight="1" x14ac:dyDescent="0.15"/>
    <row r="74" spans="1:27" ht="13" customHeight="1" x14ac:dyDescent="0.15"/>
    <row r="75" spans="1:27" ht="13" customHeight="1" x14ac:dyDescent="0.15"/>
    <row r="76" spans="1:27" ht="13" customHeight="1" x14ac:dyDescent="0.15"/>
    <row r="77" spans="1:27" ht="13" customHeight="1" x14ac:dyDescent="0.15"/>
    <row r="78" spans="1:27" ht="13" customHeight="1" x14ac:dyDescent="0.15"/>
    <row r="79" spans="1:27" ht="13" customHeight="1" x14ac:dyDescent="0.15"/>
    <row r="80" spans="1:27" ht="13" customHeight="1" x14ac:dyDescent="0.15"/>
    <row r="81" ht="13" customHeight="1" x14ac:dyDescent="0.15"/>
    <row r="82" ht="13" customHeight="1" x14ac:dyDescent="0.15"/>
    <row r="83" ht="13" customHeight="1" x14ac:dyDescent="0.15"/>
    <row r="84" ht="13" customHeight="1" x14ac:dyDescent="0.15"/>
    <row r="85" ht="13" customHeight="1" x14ac:dyDescent="0.15"/>
    <row r="86" ht="13" customHeight="1" x14ac:dyDescent="0.15"/>
    <row r="87" ht="13" customHeight="1" x14ac:dyDescent="0.15"/>
    <row r="88" ht="13" customHeight="1" x14ac:dyDescent="0.15"/>
    <row r="89" ht="13" customHeight="1" x14ac:dyDescent="0.15"/>
    <row r="90" ht="13" customHeight="1" x14ac:dyDescent="0.15"/>
    <row r="91" ht="13" customHeight="1" x14ac:dyDescent="0.15"/>
    <row r="92" ht="13" customHeight="1" x14ac:dyDescent="0.15"/>
    <row r="93" ht="13" customHeight="1" x14ac:dyDescent="0.15"/>
    <row r="94" ht="13" customHeight="1" x14ac:dyDescent="0.15"/>
    <row r="95" ht="13" customHeight="1" x14ac:dyDescent="0.15"/>
    <row r="96" ht="13" customHeight="1" x14ac:dyDescent="0.15"/>
    <row r="97" ht="13" customHeight="1" x14ac:dyDescent="0.15"/>
    <row r="98" ht="13" customHeight="1" x14ac:dyDescent="0.15"/>
    <row r="99" ht="13" customHeight="1" x14ac:dyDescent="0.15"/>
    <row r="100" ht="13" customHeight="1" x14ac:dyDescent="0.15"/>
    <row r="101" ht="13" customHeight="1" x14ac:dyDescent="0.15"/>
    <row r="102" ht="13" customHeight="1" x14ac:dyDescent="0.15"/>
    <row r="103" ht="13" customHeight="1" x14ac:dyDescent="0.15"/>
    <row r="104" ht="13" customHeight="1" x14ac:dyDescent="0.15"/>
    <row r="105" ht="13" customHeight="1" x14ac:dyDescent="0.15"/>
    <row r="106" ht="13" customHeight="1" x14ac:dyDescent="0.15"/>
    <row r="107" ht="13" customHeight="1" x14ac:dyDescent="0.15"/>
    <row r="108" ht="13" customHeight="1" x14ac:dyDescent="0.15"/>
    <row r="109" ht="13" customHeight="1" x14ac:dyDescent="0.15"/>
    <row r="110" ht="13" customHeight="1" x14ac:dyDescent="0.15"/>
    <row r="111" ht="13" customHeight="1" x14ac:dyDescent="0.15"/>
    <row r="112" ht="13" customHeight="1" x14ac:dyDescent="0.15"/>
    <row r="113" ht="13" customHeight="1" x14ac:dyDescent="0.15"/>
    <row r="114" ht="13" customHeight="1" x14ac:dyDescent="0.15"/>
    <row r="115" ht="13" customHeight="1" x14ac:dyDescent="0.15"/>
    <row r="116" ht="13" customHeight="1" x14ac:dyDescent="0.15"/>
    <row r="117" ht="13" customHeight="1" x14ac:dyDescent="0.15"/>
    <row r="118" ht="13" customHeight="1" x14ac:dyDescent="0.15"/>
    <row r="119" ht="13" customHeight="1" x14ac:dyDescent="0.15"/>
    <row r="120" ht="13" customHeight="1" x14ac:dyDescent="0.15"/>
    <row r="121" ht="13" customHeight="1" x14ac:dyDescent="0.15"/>
    <row r="122" ht="13" customHeight="1" x14ac:dyDescent="0.15"/>
    <row r="123" ht="13" customHeight="1" x14ac:dyDescent="0.15"/>
    <row r="124" ht="13" customHeight="1" x14ac:dyDescent="0.15"/>
    <row r="125" ht="13" customHeight="1" x14ac:dyDescent="0.15"/>
    <row r="126" ht="13" customHeight="1" x14ac:dyDescent="0.15"/>
    <row r="127" ht="13" customHeight="1" x14ac:dyDescent="0.15"/>
    <row r="128" ht="13" customHeight="1" x14ac:dyDescent="0.15"/>
    <row r="129" spans="18:20" ht="13" customHeight="1" x14ac:dyDescent="0.15"/>
    <row r="130" spans="18:20" ht="13" customHeight="1" x14ac:dyDescent="0.15"/>
    <row r="131" spans="18:20" ht="13" customHeight="1" x14ac:dyDescent="0.15"/>
    <row r="132" spans="18:20" ht="13" customHeight="1" x14ac:dyDescent="0.15"/>
    <row r="133" spans="18:20" ht="13" customHeight="1" x14ac:dyDescent="0.15">
      <c r="R133" s="78" t="s">
        <v>15</v>
      </c>
      <c r="S133" s="78" t="s">
        <v>102</v>
      </c>
      <c r="T133" s="78" t="s">
        <v>103</v>
      </c>
    </row>
    <row r="134" spans="18:20" ht="13" customHeight="1" x14ac:dyDescent="0.15">
      <c r="R134" t="e">
        <f>zmax</f>
        <v>#REF!</v>
      </c>
      <c r="S134" s="82" t="e">
        <f>_xlfn.NORM.DIST(#REF!,Mean,StdDev,FALSE)</f>
        <v>#REF!</v>
      </c>
    </row>
    <row r="135" spans="18:20" ht="13" customHeight="1" x14ac:dyDescent="0.15">
      <c r="S135" s="82" t="e">
        <f>_xlfn.NORM.DIST(#REF!,Mean,StdDev,FALSE)</f>
        <v>#REF!</v>
      </c>
    </row>
    <row r="136" spans="18:20" ht="13" customHeight="1" x14ac:dyDescent="0.15">
      <c r="S136" s="82" t="e">
        <f>_xlfn.NORM.DIST(#REF!,Mean,StdDev,FALSE)</f>
        <v>#REF!</v>
      </c>
    </row>
    <row r="137" spans="18:20" ht="13" customHeight="1" x14ac:dyDescent="0.15">
      <c r="S137" s="82" t="e">
        <f>_xlfn.NORM.DIST(#REF!,Mean,StdDev,FALSE)</f>
        <v>#REF!</v>
      </c>
    </row>
    <row r="138" spans="18:20" ht="13" customHeight="1" x14ac:dyDescent="0.15">
      <c r="S138" s="82" t="e">
        <f>_xlfn.NORM.DIST(#REF!,Mean,StdDev,FALSE)</f>
        <v>#REF!</v>
      </c>
    </row>
    <row r="139" spans="18:20" ht="13" customHeight="1" x14ac:dyDescent="0.15">
      <c r="S139" s="82" t="e">
        <f>_xlfn.NORM.DIST(#REF!,Mean,StdDev,FALSE)</f>
        <v>#REF!</v>
      </c>
    </row>
    <row r="140" spans="18:20" ht="13" customHeight="1" x14ac:dyDescent="0.15">
      <c r="S140" s="82" t="e">
        <f>_xlfn.NORM.DIST(#REF!,Mean,StdDev,FALSE)</f>
        <v>#REF!</v>
      </c>
    </row>
    <row r="141" spans="18:20" ht="13" customHeight="1" x14ac:dyDescent="0.15">
      <c r="S141" s="82" t="e">
        <f>_xlfn.NORM.DIST(#REF!,Mean,StdDev,FALSE)</f>
        <v>#REF!</v>
      </c>
    </row>
    <row r="142" spans="18:20" ht="13" customHeight="1" x14ac:dyDescent="0.15">
      <c r="S142" s="82" t="e">
        <f>_xlfn.NORM.DIST(#REF!,Mean,StdDev,FALSE)</f>
        <v>#REF!</v>
      </c>
    </row>
    <row r="143" spans="18:20" ht="13" customHeight="1" x14ac:dyDescent="0.15">
      <c r="S143" s="82" t="e">
        <f>_xlfn.NORM.DIST(#REF!,Mean,StdDev,FALSE)</f>
        <v>#REF!</v>
      </c>
    </row>
    <row r="144" spans="18:20" ht="13" customHeight="1" x14ac:dyDescent="0.15">
      <c r="S144" s="82" t="e">
        <f>_xlfn.NORM.DIST(#REF!,Mean,StdDev,FALSE)</f>
        <v>#REF!</v>
      </c>
    </row>
    <row r="145" spans="19:19" ht="13" customHeight="1" x14ac:dyDescent="0.15">
      <c r="S145" s="82" t="e">
        <f>_xlfn.NORM.DIST(#REF!,Mean,StdDev,FALSE)</f>
        <v>#REF!</v>
      </c>
    </row>
    <row r="146" spans="19:19" ht="13" customHeight="1" x14ac:dyDescent="0.15">
      <c r="S146" s="82" t="e">
        <f>_xlfn.NORM.DIST(#REF!,Mean,StdDev,FALSE)</f>
        <v>#REF!</v>
      </c>
    </row>
    <row r="147" spans="19:19" ht="13" customHeight="1" x14ac:dyDescent="0.15">
      <c r="S147" s="82" t="e">
        <f>_xlfn.NORM.DIST(#REF!,Mean,StdDev,FALSE)</f>
        <v>#REF!</v>
      </c>
    </row>
    <row r="148" spans="19:19" ht="13" customHeight="1" x14ac:dyDescent="0.15">
      <c r="S148" s="82" t="e">
        <f>_xlfn.NORM.DIST(#REF!,Mean,StdDev,FALSE)</f>
        <v>#REF!</v>
      </c>
    </row>
    <row r="149" spans="19:19" ht="13" customHeight="1" x14ac:dyDescent="0.15">
      <c r="S149" s="82" t="e">
        <f>_xlfn.NORM.DIST(#REF!,Mean,StdDev,FALSE)</f>
        <v>#REF!</v>
      </c>
    </row>
    <row r="150" spans="19:19" ht="13" customHeight="1" x14ac:dyDescent="0.15">
      <c r="S150" s="82" t="e">
        <f>_xlfn.NORM.DIST(#REF!,Mean,StdDev,FALSE)</f>
        <v>#REF!</v>
      </c>
    </row>
    <row r="151" spans="19:19" ht="13" customHeight="1" x14ac:dyDescent="0.15">
      <c r="S151" s="82" t="e">
        <f>_xlfn.NORM.DIST(#REF!,Mean,StdDev,FALSE)</f>
        <v>#REF!</v>
      </c>
    </row>
    <row r="152" spans="19:19" ht="13" customHeight="1" x14ac:dyDescent="0.15">
      <c r="S152" s="82" t="e">
        <f>_xlfn.NORM.DIST(#REF!,Mean,StdDev,FALSE)</f>
        <v>#REF!</v>
      </c>
    </row>
    <row r="153" spans="19:19" ht="13" customHeight="1" x14ac:dyDescent="0.15">
      <c r="S153" s="82" t="e">
        <f>_xlfn.NORM.DIST(#REF!,Mean,StdDev,FALSE)</f>
        <v>#REF!</v>
      </c>
    </row>
    <row r="154" spans="19:19" ht="13" customHeight="1" x14ac:dyDescent="0.15">
      <c r="S154" s="82" t="e">
        <f>_xlfn.NORM.DIST(#REF!,Mean,StdDev,FALSE)</f>
        <v>#REF!</v>
      </c>
    </row>
    <row r="155" spans="19:19" ht="13" customHeight="1" x14ac:dyDescent="0.15">
      <c r="S155" s="82" t="e">
        <f>_xlfn.NORM.DIST(#REF!,Mean,StdDev,FALSE)</f>
        <v>#REF!</v>
      </c>
    </row>
    <row r="156" spans="19:19" ht="13" customHeight="1" x14ac:dyDescent="0.15">
      <c r="S156" s="82" t="e">
        <f>_xlfn.NORM.DIST(#REF!,Mean,StdDev,FALSE)</f>
        <v>#REF!</v>
      </c>
    </row>
    <row r="157" spans="19:19" ht="13" customHeight="1" x14ac:dyDescent="0.15">
      <c r="S157" s="82" t="e">
        <f>_xlfn.NORM.DIST(#REF!,Mean,StdDev,FALSE)</f>
        <v>#REF!</v>
      </c>
    </row>
    <row r="158" spans="19:19" ht="13" customHeight="1" x14ac:dyDescent="0.15">
      <c r="S158" s="82" t="e">
        <f>_xlfn.NORM.DIST(#REF!,Mean,StdDev,FALSE)</f>
        <v>#REF!</v>
      </c>
    </row>
    <row r="159" spans="19:19" ht="13" customHeight="1" x14ac:dyDescent="0.15">
      <c r="S159" s="82" t="e">
        <f>_xlfn.NORM.DIST(#REF!,Mean,StdDev,FALSE)</f>
        <v>#REF!</v>
      </c>
    </row>
    <row r="160" spans="19:19" ht="13" customHeight="1" x14ac:dyDescent="0.15">
      <c r="S160" s="82" t="e">
        <f>_xlfn.NORM.DIST(#REF!,Mean,StdDev,FALSE)</f>
        <v>#REF!</v>
      </c>
    </row>
    <row r="161" spans="19:19" ht="13" customHeight="1" x14ac:dyDescent="0.15">
      <c r="S161" s="82" t="e">
        <f>_xlfn.NORM.DIST(#REF!,Mean,StdDev,FALSE)</f>
        <v>#REF!</v>
      </c>
    </row>
    <row r="162" spans="19:19" ht="13" customHeight="1" x14ac:dyDescent="0.15">
      <c r="S162" s="82" t="e">
        <f>_xlfn.NORM.DIST(#REF!,Mean,StdDev,FALSE)</f>
        <v>#REF!</v>
      </c>
    </row>
    <row r="163" spans="19:19" ht="13" customHeight="1" x14ac:dyDescent="0.15">
      <c r="S163" s="82" t="e">
        <f>_xlfn.NORM.DIST(#REF!,Mean,StdDev,FALSE)</f>
        <v>#REF!</v>
      </c>
    </row>
    <row r="164" spans="19:19" ht="13" customHeight="1" x14ac:dyDescent="0.15">
      <c r="S164" s="82" t="e">
        <f>_xlfn.NORM.DIST(#REF!,Mean,StdDev,FALSE)</f>
        <v>#REF!</v>
      </c>
    </row>
    <row r="165" spans="19:19" ht="13" customHeight="1" x14ac:dyDescent="0.15">
      <c r="S165" s="82" t="e">
        <f>_xlfn.NORM.DIST(#REF!,Mean,StdDev,FALSE)</f>
        <v>#REF!</v>
      </c>
    </row>
    <row r="166" spans="19:19" ht="13" customHeight="1" x14ac:dyDescent="0.15">
      <c r="S166" s="82" t="e">
        <f>_xlfn.NORM.DIST(#REF!,Mean,StdDev,FALSE)</f>
        <v>#REF!</v>
      </c>
    </row>
    <row r="167" spans="19:19" ht="13" customHeight="1" x14ac:dyDescent="0.15">
      <c r="S167" s="82" t="e">
        <f>_xlfn.NORM.DIST(#REF!,Mean,StdDev,FALSE)</f>
        <v>#REF!</v>
      </c>
    </row>
    <row r="168" spans="19:19" ht="13" customHeight="1" x14ac:dyDescent="0.15">
      <c r="S168" s="82" t="e">
        <f>_xlfn.NORM.DIST(#REF!,Mean,StdDev,FALSE)</f>
        <v>#REF!</v>
      </c>
    </row>
    <row r="169" spans="19:19" ht="13" customHeight="1" x14ac:dyDescent="0.15">
      <c r="S169" s="82" t="e">
        <f>_xlfn.NORM.DIST(#REF!,Mean,StdDev,FALSE)</f>
        <v>#REF!</v>
      </c>
    </row>
    <row r="170" spans="19:19" ht="13" customHeight="1" x14ac:dyDescent="0.15">
      <c r="S170" s="82" t="e">
        <f>_xlfn.NORM.DIST(#REF!,Mean,StdDev,FALSE)</f>
        <v>#REF!</v>
      </c>
    </row>
    <row r="171" spans="19:19" ht="13" customHeight="1" x14ac:dyDescent="0.15">
      <c r="S171" s="82" t="e">
        <f>_xlfn.NORM.DIST(#REF!,Mean,StdDev,FALSE)</f>
        <v>#REF!</v>
      </c>
    </row>
    <row r="172" spans="19:19" ht="13" customHeight="1" x14ac:dyDescent="0.15">
      <c r="S172" s="82" t="e">
        <f>_xlfn.NORM.DIST(#REF!,Mean,StdDev,FALSE)</f>
        <v>#REF!</v>
      </c>
    </row>
    <row r="173" spans="19:19" ht="13" customHeight="1" x14ac:dyDescent="0.15">
      <c r="S173" s="82" t="e">
        <f>_xlfn.NORM.DIST(#REF!,Mean,StdDev,FALSE)</f>
        <v>#REF!</v>
      </c>
    </row>
    <row r="174" spans="19:19" ht="13" customHeight="1" x14ac:dyDescent="0.15">
      <c r="S174" s="82" t="e">
        <f>_xlfn.NORM.DIST(#REF!,Mean,StdDev,FALSE)</f>
        <v>#REF!</v>
      </c>
    </row>
    <row r="175" spans="19:19" ht="13" customHeight="1" x14ac:dyDescent="0.15">
      <c r="S175" s="82" t="e">
        <f>_xlfn.NORM.DIST(#REF!,Mean,StdDev,FALSE)</f>
        <v>#REF!</v>
      </c>
    </row>
    <row r="176" spans="19:19" ht="13" customHeight="1" x14ac:dyDescent="0.15">
      <c r="S176" s="82" t="e">
        <f>_xlfn.NORM.DIST(#REF!,Mean,StdDev,FALSE)</f>
        <v>#REF!</v>
      </c>
    </row>
    <row r="177" spans="19:19" ht="13" customHeight="1" x14ac:dyDescent="0.15">
      <c r="S177" s="82" t="e">
        <f>_xlfn.NORM.DIST(#REF!,Mean,StdDev,FALSE)</f>
        <v>#REF!</v>
      </c>
    </row>
    <row r="178" spans="19:19" ht="13" customHeight="1" x14ac:dyDescent="0.15">
      <c r="S178" s="82" t="e">
        <f>_xlfn.NORM.DIST(#REF!,Mean,StdDev,FALSE)</f>
        <v>#REF!</v>
      </c>
    </row>
    <row r="179" spans="19:19" ht="13" customHeight="1" x14ac:dyDescent="0.15">
      <c r="S179" s="82" t="e">
        <f>_xlfn.NORM.DIST(#REF!,Mean,StdDev,FALSE)</f>
        <v>#REF!</v>
      </c>
    </row>
    <row r="180" spans="19:19" ht="13" customHeight="1" x14ac:dyDescent="0.15">
      <c r="S180" s="82" t="e">
        <f>_xlfn.NORM.DIST(#REF!,Mean,StdDev,FALSE)</f>
        <v>#REF!</v>
      </c>
    </row>
    <row r="181" spans="19:19" ht="13" customHeight="1" x14ac:dyDescent="0.15">
      <c r="S181" s="82" t="e">
        <f>_xlfn.NORM.DIST(#REF!,Mean,StdDev,FALSE)</f>
        <v>#REF!</v>
      </c>
    </row>
    <row r="182" spans="19:19" ht="13" customHeight="1" x14ac:dyDescent="0.15">
      <c r="S182" s="82" t="e">
        <f>_xlfn.NORM.DIST(#REF!,Mean,StdDev,FALSE)</f>
        <v>#REF!</v>
      </c>
    </row>
    <row r="183" spans="19:19" ht="13" customHeight="1" x14ac:dyDescent="0.15">
      <c r="S183" s="82" t="e">
        <f>_xlfn.NORM.DIST(#REF!,Mean,StdDev,FALSE)</f>
        <v>#REF!</v>
      </c>
    </row>
    <row r="184" spans="19:19" ht="13" customHeight="1" x14ac:dyDescent="0.15">
      <c r="S184" s="82" t="e">
        <f>_xlfn.NORM.DIST(#REF!,Mean,StdDev,FALSE)</f>
        <v>#REF!</v>
      </c>
    </row>
    <row r="185" spans="19:19" ht="13" customHeight="1" x14ac:dyDescent="0.15">
      <c r="S185" s="82" t="e">
        <f>_xlfn.NORM.DIST(#REF!,Mean,StdDev,FALSE)</f>
        <v>#REF!</v>
      </c>
    </row>
    <row r="186" spans="19:19" ht="13" customHeight="1" x14ac:dyDescent="0.15">
      <c r="S186" s="82" t="e">
        <f>_xlfn.NORM.DIST(#REF!,Mean,StdDev,FALSE)</f>
        <v>#REF!</v>
      </c>
    </row>
    <row r="187" spans="19:19" ht="13" customHeight="1" x14ac:dyDescent="0.15">
      <c r="S187" s="82" t="e">
        <f>_xlfn.NORM.DIST(#REF!,Mean,StdDev,FALSE)</f>
        <v>#REF!</v>
      </c>
    </row>
    <row r="188" spans="19:19" ht="13" customHeight="1" x14ac:dyDescent="0.15">
      <c r="S188" s="82" t="e">
        <f>_xlfn.NORM.DIST(#REF!,Mean,StdDev,FALSE)</f>
        <v>#REF!</v>
      </c>
    </row>
    <row r="189" spans="19:19" ht="13" customHeight="1" x14ac:dyDescent="0.15">
      <c r="S189" s="82" t="e">
        <f>_xlfn.NORM.DIST(#REF!,Mean,StdDev,FALSE)</f>
        <v>#REF!</v>
      </c>
    </row>
    <row r="190" spans="19:19" ht="13" customHeight="1" x14ac:dyDescent="0.15">
      <c r="S190" s="82" t="e">
        <f>_xlfn.NORM.DIST(#REF!,Mean,StdDev,FALSE)</f>
        <v>#REF!</v>
      </c>
    </row>
    <row r="191" spans="19:19" ht="13" customHeight="1" x14ac:dyDescent="0.15">
      <c r="S191" s="82" t="e">
        <f>_xlfn.NORM.DIST(#REF!,Mean,StdDev,FALSE)</f>
        <v>#REF!</v>
      </c>
    </row>
    <row r="192" spans="19:19" ht="13" customHeight="1" x14ac:dyDescent="0.15">
      <c r="S192" s="82" t="e">
        <f>_xlfn.NORM.DIST(#REF!,Mean,StdDev,FALSE)</f>
        <v>#REF!</v>
      </c>
    </row>
    <row r="193" spans="18:20" ht="13" customHeight="1" x14ac:dyDescent="0.15">
      <c r="S193" s="82" t="e">
        <f>_xlfn.NORM.DIST(#REF!,Mean,StdDev,FALSE)</f>
        <v>#REF!</v>
      </c>
    </row>
    <row r="194" spans="18:20" ht="13" customHeight="1" x14ac:dyDescent="0.15">
      <c r="S194" s="82" t="e">
        <f>_xlfn.NORM.DIST(#REF!,Mean,StdDev,FALSE)</f>
        <v>#REF!</v>
      </c>
    </row>
    <row r="195" spans="18:20" ht="13" customHeight="1" x14ac:dyDescent="0.15"/>
    <row r="196" spans="18:20" ht="13" customHeight="1" x14ac:dyDescent="0.15"/>
    <row r="197" spans="18:20" ht="13" customHeight="1" x14ac:dyDescent="0.15">
      <c r="R197" s="78" t="s">
        <v>15</v>
      </c>
      <c r="S197" s="78" t="s">
        <v>102</v>
      </c>
      <c r="T197" s="78" t="s">
        <v>103</v>
      </c>
    </row>
    <row r="198" spans="18:20" ht="13" customHeight="1" x14ac:dyDescent="0.15">
      <c r="S198" t="e">
        <f>_xlfn.NORM.DIST(#REF!,Mean,StdDev,FALSE)</f>
        <v>#REF!</v>
      </c>
    </row>
    <row r="199" spans="18:20" ht="13" customHeight="1" x14ac:dyDescent="0.15">
      <c r="S199" t="e">
        <f>_xlfn.NORM.DIST(#REF!,Mean,StdDev,FALSE)</f>
        <v>#REF!</v>
      </c>
    </row>
    <row r="200" spans="18:20" ht="13" customHeight="1" x14ac:dyDescent="0.15">
      <c r="S200" t="e">
        <f>_xlfn.NORM.DIST(#REF!,Mean,StdDev,FALSE)</f>
        <v>#REF!</v>
      </c>
    </row>
    <row r="201" spans="18:20" ht="13" customHeight="1" x14ac:dyDescent="0.15">
      <c r="S201" t="e">
        <f>_xlfn.NORM.DIST(#REF!,Mean,StdDev,FALSE)</f>
        <v>#REF!</v>
      </c>
    </row>
    <row r="202" spans="18:20" ht="13" customHeight="1" x14ac:dyDescent="0.15">
      <c r="S202" t="e">
        <f>_xlfn.NORM.DIST(#REF!,Mean,StdDev,FALSE)</f>
        <v>#REF!</v>
      </c>
    </row>
    <row r="203" spans="18:20" ht="13" customHeight="1" x14ac:dyDescent="0.15">
      <c r="S203" t="e">
        <f>_xlfn.NORM.DIST(#REF!,Mean,StdDev,FALSE)</f>
        <v>#REF!</v>
      </c>
    </row>
    <row r="204" spans="18:20" ht="13" customHeight="1" x14ac:dyDescent="0.15">
      <c r="S204" t="e">
        <f>_xlfn.NORM.DIST(#REF!,Mean,StdDev,FALSE)</f>
        <v>#REF!</v>
      </c>
    </row>
    <row r="205" spans="18:20" ht="13" customHeight="1" x14ac:dyDescent="0.15">
      <c r="S205" t="e">
        <f>_xlfn.NORM.DIST(#REF!,Mean,StdDev,FALSE)</f>
        <v>#REF!</v>
      </c>
    </row>
    <row r="206" spans="18:20" ht="13" customHeight="1" x14ac:dyDescent="0.15">
      <c r="S206" t="e">
        <f>_xlfn.NORM.DIST(#REF!,Mean,StdDev,FALSE)</f>
        <v>#REF!</v>
      </c>
    </row>
    <row r="207" spans="18:20" ht="13" customHeight="1" x14ac:dyDescent="0.15">
      <c r="S207" t="e">
        <f>_xlfn.NORM.DIST(#REF!,Mean,StdDev,FALSE)</f>
        <v>#REF!</v>
      </c>
    </row>
    <row r="208" spans="18:20" ht="13" customHeight="1" x14ac:dyDescent="0.15">
      <c r="S208" t="e">
        <f>_xlfn.NORM.DIST(#REF!,Mean,StdDev,FALSE)</f>
        <v>#REF!</v>
      </c>
    </row>
    <row r="209" spans="19:19" ht="13" customHeight="1" x14ac:dyDescent="0.15">
      <c r="S209" t="e">
        <f>_xlfn.NORM.DIST(#REF!,Mean,StdDev,FALSE)</f>
        <v>#REF!</v>
      </c>
    </row>
    <row r="210" spans="19:19" ht="13" customHeight="1" x14ac:dyDescent="0.15">
      <c r="S210" t="e">
        <f>_xlfn.NORM.DIST(#REF!,Mean,StdDev,FALSE)</f>
        <v>#REF!</v>
      </c>
    </row>
    <row r="211" spans="19:19" ht="13" customHeight="1" x14ac:dyDescent="0.15">
      <c r="S211" t="e">
        <f>_xlfn.NORM.DIST(#REF!,Mean,StdDev,FALSE)</f>
        <v>#REF!</v>
      </c>
    </row>
    <row r="212" spans="19:19" ht="13" customHeight="1" x14ac:dyDescent="0.15">
      <c r="S212" t="e">
        <f>_xlfn.NORM.DIST(#REF!,Mean,StdDev,FALSE)</f>
        <v>#REF!</v>
      </c>
    </row>
    <row r="213" spans="19:19" ht="13" customHeight="1" x14ac:dyDescent="0.15">
      <c r="S213" t="e">
        <f>_xlfn.NORM.DIST(#REF!,Mean,StdDev,FALSE)</f>
        <v>#REF!</v>
      </c>
    </row>
    <row r="214" spans="19:19" ht="13" customHeight="1" x14ac:dyDescent="0.15">
      <c r="S214" t="e">
        <f>_xlfn.NORM.DIST(#REF!,Mean,StdDev,FALSE)</f>
        <v>#REF!</v>
      </c>
    </row>
    <row r="215" spans="19:19" ht="13" customHeight="1" x14ac:dyDescent="0.15">
      <c r="S215" t="e">
        <f>_xlfn.NORM.DIST(#REF!,Mean,StdDev,FALSE)</f>
        <v>#REF!</v>
      </c>
    </row>
    <row r="216" spans="19:19" ht="13" customHeight="1" x14ac:dyDescent="0.15">
      <c r="S216" t="e">
        <f>_xlfn.NORM.DIST(#REF!,Mean,StdDev,FALSE)</f>
        <v>#REF!</v>
      </c>
    </row>
    <row r="217" spans="19:19" ht="13" customHeight="1" x14ac:dyDescent="0.15">
      <c r="S217" t="e">
        <f>_xlfn.NORM.DIST(#REF!,Mean,StdDev,FALSE)</f>
        <v>#REF!</v>
      </c>
    </row>
    <row r="218" spans="19:19" ht="13" customHeight="1" x14ac:dyDescent="0.15">
      <c r="S218" t="e">
        <f>_xlfn.NORM.DIST(#REF!,Mean,StdDev,FALSE)</f>
        <v>#REF!</v>
      </c>
    </row>
    <row r="219" spans="19:19" ht="13" customHeight="1" x14ac:dyDescent="0.15">
      <c r="S219" t="e">
        <f>_xlfn.NORM.DIST(#REF!,Mean,StdDev,FALSE)</f>
        <v>#REF!</v>
      </c>
    </row>
    <row r="220" spans="19:19" ht="13" customHeight="1" x14ac:dyDescent="0.15">
      <c r="S220" t="e">
        <f>_xlfn.NORM.DIST(#REF!,Mean,StdDev,FALSE)</f>
        <v>#REF!</v>
      </c>
    </row>
    <row r="221" spans="19:19" ht="13" customHeight="1" x14ac:dyDescent="0.15">
      <c r="S221" t="e">
        <f>_xlfn.NORM.DIST(#REF!,Mean,StdDev,FALSE)</f>
        <v>#REF!</v>
      </c>
    </row>
    <row r="222" spans="19:19" ht="13" customHeight="1" x14ac:dyDescent="0.15">
      <c r="S222" t="e">
        <f>_xlfn.NORM.DIST(#REF!,Mean,StdDev,FALSE)</f>
        <v>#REF!</v>
      </c>
    </row>
    <row r="223" spans="19:19" ht="13" customHeight="1" x14ac:dyDescent="0.15">
      <c r="S223" t="e">
        <f>_xlfn.NORM.DIST(#REF!,Mean,StdDev,FALSE)</f>
        <v>#REF!</v>
      </c>
    </row>
    <row r="224" spans="19:19" ht="13" customHeight="1" x14ac:dyDescent="0.15">
      <c r="S224" t="e">
        <f>_xlfn.NORM.DIST(#REF!,Mean,StdDev,FALSE)</f>
        <v>#REF!</v>
      </c>
    </row>
    <row r="225" spans="19:19" ht="13" customHeight="1" x14ac:dyDescent="0.15">
      <c r="S225" t="e">
        <f>_xlfn.NORM.DIST(#REF!,Mean,StdDev,FALSE)</f>
        <v>#REF!</v>
      </c>
    </row>
    <row r="226" spans="19:19" ht="13" customHeight="1" x14ac:dyDescent="0.15">
      <c r="S226" t="e">
        <f>_xlfn.NORM.DIST(#REF!,Mean,StdDev,FALSE)</f>
        <v>#REF!</v>
      </c>
    </row>
    <row r="227" spans="19:19" ht="13" customHeight="1" x14ac:dyDescent="0.15">
      <c r="S227" t="e">
        <f>_xlfn.NORM.DIST(#REF!,Mean,StdDev,FALSE)</f>
        <v>#REF!</v>
      </c>
    </row>
    <row r="228" spans="19:19" ht="13" customHeight="1" x14ac:dyDescent="0.15">
      <c r="S228" t="e">
        <f>_xlfn.NORM.DIST(#REF!,Mean,StdDev,FALSE)</f>
        <v>#REF!</v>
      </c>
    </row>
    <row r="229" spans="19:19" ht="13" customHeight="1" x14ac:dyDescent="0.15">
      <c r="S229" t="e">
        <f>_xlfn.NORM.DIST(#REF!,Mean,StdDev,FALSE)</f>
        <v>#REF!</v>
      </c>
    </row>
    <row r="230" spans="19:19" ht="13" customHeight="1" x14ac:dyDescent="0.15">
      <c r="S230" t="e">
        <f>_xlfn.NORM.DIST(#REF!,Mean,StdDev,FALSE)</f>
        <v>#REF!</v>
      </c>
    </row>
    <row r="231" spans="19:19" ht="13" customHeight="1" x14ac:dyDescent="0.15">
      <c r="S231" t="e">
        <f>_xlfn.NORM.DIST(#REF!,Mean,StdDev,FALSE)</f>
        <v>#REF!</v>
      </c>
    </row>
    <row r="232" spans="19:19" ht="13" customHeight="1" x14ac:dyDescent="0.15">
      <c r="S232" t="e">
        <f>_xlfn.NORM.DIST(#REF!,Mean,StdDev,FALSE)</f>
        <v>#REF!</v>
      </c>
    </row>
    <row r="233" spans="19:19" ht="13" customHeight="1" x14ac:dyDescent="0.15">
      <c r="S233" t="e">
        <f>_xlfn.NORM.DIST(#REF!,Mean,StdDev,FALSE)</f>
        <v>#REF!</v>
      </c>
    </row>
    <row r="234" spans="19:19" ht="13" customHeight="1" x14ac:dyDescent="0.15">
      <c r="S234" t="e">
        <f>_xlfn.NORM.DIST(#REF!,Mean,StdDev,FALSE)</f>
        <v>#REF!</v>
      </c>
    </row>
    <row r="235" spans="19:19" ht="13" customHeight="1" x14ac:dyDescent="0.15">
      <c r="S235" t="e">
        <f>_xlfn.NORM.DIST(#REF!,Mean,StdDev,FALSE)</f>
        <v>#REF!</v>
      </c>
    </row>
    <row r="236" spans="19:19" ht="13" customHeight="1" x14ac:dyDescent="0.15">
      <c r="S236" t="e">
        <f>_xlfn.NORM.DIST(#REF!,Mean,StdDev,FALSE)</f>
        <v>#REF!</v>
      </c>
    </row>
    <row r="237" spans="19:19" ht="13" customHeight="1" x14ac:dyDescent="0.15">
      <c r="S237" t="e">
        <f>_xlfn.NORM.DIST(#REF!,Mean,StdDev,FALSE)</f>
        <v>#REF!</v>
      </c>
    </row>
    <row r="238" spans="19:19" ht="13" customHeight="1" x14ac:dyDescent="0.15">
      <c r="S238" t="e">
        <f>_xlfn.NORM.DIST(#REF!,Mean,StdDev,FALSE)</f>
        <v>#REF!</v>
      </c>
    </row>
    <row r="239" spans="19:19" ht="13" customHeight="1" x14ac:dyDescent="0.15">
      <c r="S239" t="e">
        <f>_xlfn.NORM.DIST(#REF!,Mean,StdDev,FALSE)</f>
        <v>#REF!</v>
      </c>
    </row>
    <row r="240" spans="19:19" ht="13" customHeight="1" x14ac:dyDescent="0.15">
      <c r="S240" t="e">
        <f>_xlfn.NORM.DIST(#REF!,Mean,StdDev,FALSE)</f>
        <v>#REF!</v>
      </c>
    </row>
    <row r="241" spans="19:19" ht="13" customHeight="1" x14ac:dyDescent="0.15">
      <c r="S241" t="e">
        <f>_xlfn.NORM.DIST(#REF!,Mean,StdDev,FALSE)</f>
        <v>#REF!</v>
      </c>
    </row>
    <row r="242" spans="19:19" ht="13" customHeight="1" x14ac:dyDescent="0.15">
      <c r="S242" t="e">
        <f>_xlfn.NORM.DIST(#REF!,Mean,StdDev,FALSE)</f>
        <v>#REF!</v>
      </c>
    </row>
    <row r="243" spans="19:19" x14ac:dyDescent="0.15">
      <c r="S243" t="e">
        <f>_xlfn.NORM.DIST(#REF!,Mean,StdDev,FALSE)</f>
        <v>#REF!</v>
      </c>
    </row>
    <row r="244" spans="19:19" x14ac:dyDescent="0.15">
      <c r="S244" t="e">
        <f>_xlfn.NORM.DIST(#REF!,Mean,StdDev,FALSE)</f>
        <v>#REF!</v>
      </c>
    </row>
    <row r="245" spans="19:19" x14ac:dyDescent="0.15">
      <c r="S245" t="e">
        <f>_xlfn.NORM.DIST(#REF!,Mean,StdDev,FALSE)</f>
        <v>#REF!</v>
      </c>
    </row>
    <row r="246" spans="19:19" x14ac:dyDescent="0.15">
      <c r="S246" t="e">
        <f>_xlfn.NORM.DIST(#REF!,Mean,StdDev,FALSE)</f>
        <v>#REF!</v>
      </c>
    </row>
    <row r="247" spans="19:19" x14ac:dyDescent="0.15">
      <c r="S247" t="e">
        <f>_xlfn.NORM.DIST(#REF!,Mean,StdDev,FALSE)</f>
        <v>#REF!</v>
      </c>
    </row>
    <row r="248" spans="19:19" x14ac:dyDescent="0.15">
      <c r="S248" t="e">
        <f>_xlfn.NORM.DIST(#REF!,Mean,StdDev,FALSE)</f>
        <v>#REF!</v>
      </c>
    </row>
    <row r="249" spans="19:19" x14ac:dyDescent="0.15">
      <c r="S249" t="e">
        <f>_xlfn.NORM.DIST(#REF!,Mean,StdDev,FALSE)</f>
        <v>#REF!</v>
      </c>
    </row>
    <row r="250" spans="19:19" x14ac:dyDescent="0.15">
      <c r="S250" t="e">
        <f>_xlfn.NORM.DIST(#REF!,Mean,StdDev,FALSE)</f>
        <v>#REF!</v>
      </c>
    </row>
    <row r="251" spans="19:19" x14ac:dyDescent="0.15">
      <c r="S251" t="e">
        <f>_xlfn.NORM.DIST(#REF!,Mean,StdDev,FALSE)</f>
        <v>#REF!</v>
      </c>
    </row>
    <row r="252" spans="19:19" x14ac:dyDescent="0.15">
      <c r="S252" t="e">
        <f>_xlfn.NORM.DIST(#REF!,Mean,StdDev,FALSE)</f>
        <v>#REF!</v>
      </c>
    </row>
    <row r="253" spans="19:19" x14ac:dyDescent="0.15">
      <c r="S253" t="e">
        <f>_xlfn.NORM.DIST(#REF!,Mean,StdDev,FALSE)</f>
        <v>#REF!</v>
      </c>
    </row>
    <row r="254" spans="19:19" x14ac:dyDescent="0.15">
      <c r="S254" t="e">
        <f>_xlfn.NORM.DIST(#REF!,Mean,StdDev,FALSE)</f>
        <v>#REF!</v>
      </c>
    </row>
    <row r="255" spans="19:19" x14ac:dyDescent="0.15">
      <c r="S255" t="e">
        <f>_xlfn.NORM.DIST(#REF!,Mean,StdDev,FALSE)</f>
        <v>#REF!</v>
      </c>
    </row>
    <row r="256" spans="19:19" x14ac:dyDescent="0.15">
      <c r="S256" t="e">
        <f>_xlfn.NORM.DIST(#REF!,Mean,StdDev,FALSE)</f>
        <v>#REF!</v>
      </c>
    </row>
    <row r="257" spans="19:19" x14ac:dyDescent="0.15">
      <c r="S257" t="e">
        <f>_xlfn.NORM.DIST(#REF!,Mean,StdDev,FALSE)</f>
        <v>#REF!</v>
      </c>
    </row>
    <row r="258" spans="19:19" x14ac:dyDescent="0.15">
      <c r="S258" t="e">
        <f>_xlfn.NORM.DIST(#REF!,Mean,StdDev,FALSE)</f>
        <v>#REF!</v>
      </c>
    </row>
  </sheetData>
  <mergeCells count="1">
    <mergeCell ref="A2:C3"/>
  </mergeCells>
  <phoneticPr fontId="22"/>
  <pageMargins left="0.7" right="0.7" top="0.75" bottom="0.75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8"/>
  <sheetViews>
    <sheetView zoomScale="150" zoomScaleNormal="150" zoomScalePageLayoutView="150" workbookViewId="0"/>
  </sheetViews>
  <sheetFormatPr baseColWidth="10" defaultRowHeight="13" x14ac:dyDescent="0.15"/>
  <cols>
    <col min="1" max="1" width="17.33203125" customWidth="1"/>
    <col min="2" max="2" width="9.5" customWidth="1"/>
    <col min="3" max="3" width="14.83203125" customWidth="1"/>
    <col min="4" max="6" width="11.6640625" customWidth="1"/>
    <col min="14" max="14" width="11.6640625" bestFit="1" customWidth="1"/>
    <col min="18" max="18" width="11.1640625" bestFit="1" customWidth="1"/>
  </cols>
  <sheetData>
    <row r="1" spans="1:22" ht="13" customHeight="1" x14ac:dyDescent="0.15">
      <c r="A1" s="33" t="s">
        <v>157</v>
      </c>
    </row>
    <row r="2" spans="1:22" ht="19" customHeight="1" x14ac:dyDescent="0.15">
      <c r="A2" s="159" t="s">
        <v>51</v>
      </c>
      <c r="B2" s="160"/>
      <c r="C2" s="160"/>
      <c r="D2" s="144" t="s">
        <v>156</v>
      </c>
      <c r="E2" s="63"/>
    </row>
    <row r="3" spans="1:22" ht="13" customHeight="1" x14ac:dyDescent="0.15">
      <c r="A3" s="32"/>
    </row>
    <row r="4" spans="1:22" ht="13" customHeight="1" x14ac:dyDescent="0.15">
      <c r="A4" s="95" t="s">
        <v>50</v>
      </c>
      <c r="B4" s="51"/>
      <c r="M4" s="78" t="s">
        <v>15</v>
      </c>
      <c r="N4" s="78" t="s">
        <v>102</v>
      </c>
      <c r="O4" s="78" t="s">
        <v>103</v>
      </c>
      <c r="P4" s="85" t="s">
        <v>112</v>
      </c>
      <c r="Q4" s="86" t="s">
        <v>32</v>
      </c>
      <c r="R4" s="85"/>
      <c r="S4" s="78" t="s">
        <v>134</v>
      </c>
      <c r="T4" s="86" t="s">
        <v>132</v>
      </c>
      <c r="V4" s="45" t="s">
        <v>133</v>
      </c>
    </row>
    <row r="5" spans="1:22" ht="13" customHeight="1" x14ac:dyDescent="0.15">
      <c r="A5" s="66" t="s">
        <v>44</v>
      </c>
      <c r="B5" s="83">
        <v>84</v>
      </c>
      <c r="C5" s="79"/>
      <c r="D5" s="79"/>
      <c r="E5" s="79"/>
      <c r="F5" s="79"/>
      <c r="M5" s="46">
        <v>-4</v>
      </c>
      <c r="N5" s="80">
        <f t="shared" ref="N5:N36" si="0">_xlfn.NORM.DIST(M5,0,1,FALSE)</f>
        <v>1.3383022576488537E-4</v>
      </c>
      <c r="O5" s="80">
        <f t="shared" ref="O5:O36" si="1">_xlfn.NORM.DIST(M5,0,1,TRUE)</f>
        <v>3.1671241833119857E-5</v>
      </c>
      <c r="P5">
        <v>-4</v>
      </c>
      <c r="Q5">
        <f>IF(B13&lt;0,B13,-B13)</f>
        <v>-1.697056274847714</v>
      </c>
      <c r="R5" s="46">
        <f>M5</f>
        <v>-4</v>
      </c>
      <c r="S5" s="81">
        <f t="shared" ref="S5:S36" si="2">_xlfn.NORM.DIST(R5,0,1,FALSE)</f>
        <v>1.3383022576488537E-4</v>
      </c>
      <c r="T5">
        <f>IF(B13&gt;0,B13,-B13)</f>
        <v>1.697056274847714</v>
      </c>
      <c r="U5" s="46">
        <f>-M5</f>
        <v>4</v>
      </c>
      <c r="V5" s="81">
        <f t="shared" ref="V5:V36" si="3">_xlfn.NORM.DIST(U5,0,1,FALSE)</f>
        <v>1.3383022576488537E-4</v>
      </c>
    </row>
    <row r="6" spans="1:22" ht="13" customHeight="1" x14ac:dyDescent="0.15">
      <c r="A6" s="66" t="s">
        <v>93</v>
      </c>
      <c r="B6" s="83">
        <v>80</v>
      </c>
      <c r="C6" s="79"/>
      <c r="D6" s="79"/>
      <c r="E6" s="79"/>
      <c r="F6" s="79"/>
      <c r="M6" s="46">
        <f>8/60+M5</f>
        <v>-3.8666666666666667</v>
      </c>
      <c r="N6" s="80">
        <f t="shared" si="0"/>
        <v>2.261088384036847E-4</v>
      </c>
      <c r="O6" s="80">
        <f t="shared" si="1"/>
        <v>5.5166535027278632E-5</v>
      </c>
      <c r="R6" s="46">
        <f>($Q$5-$R$5)/60+R5</f>
        <v>-3.9616176045807951</v>
      </c>
      <c r="S6" s="81">
        <f t="shared" si="2"/>
        <v>1.5592342202908082E-4</v>
      </c>
      <c r="U6" s="46">
        <f>($T$5-$U$5)/60+U5</f>
        <v>3.9616176045807951</v>
      </c>
      <c r="V6" s="81">
        <f t="shared" si="3"/>
        <v>1.5592342202908082E-4</v>
      </c>
    </row>
    <row r="7" spans="1:22" ht="13" customHeight="1" x14ac:dyDescent="0.15">
      <c r="A7" s="66" t="s">
        <v>71</v>
      </c>
      <c r="B7" s="83">
        <v>72</v>
      </c>
      <c r="C7" s="79"/>
      <c r="D7" s="79"/>
      <c r="E7" s="79"/>
      <c r="F7" s="79"/>
      <c r="M7" s="46">
        <f t="shared" ref="M7:M65" si="4">8/60+M6</f>
        <v>-3.7333333333333334</v>
      </c>
      <c r="N7" s="80">
        <f t="shared" si="0"/>
        <v>3.7528402371763E-4</v>
      </c>
      <c r="O7" s="80">
        <f t="shared" si="1"/>
        <v>9.4481124804330071E-5</v>
      </c>
      <c r="R7" s="46">
        <f t="shared" ref="R7:R65" si="5">($Q$5-$R$5)/60+R6</f>
        <v>-3.9232352091615903</v>
      </c>
      <c r="S7" s="81">
        <f t="shared" si="2"/>
        <v>1.8139641446053741E-4</v>
      </c>
      <c r="U7" s="46">
        <f t="shared" ref="U7:U65" si="6">($T$5-$U$5)/60+U6</f>
        <v>3.9232352091615903</v>
      </c>
      <c r="V7" s="81">
        <f t="shared" si="3"/>
        <v>1.8139641446053741E-4</v>
      </c>
    </row>
    <row r="8" spans="1:22" ht="13" customHeight="1" x14ac:dyDescent="0.15">
      <c r="A8" s="66" t="s">
        <v>66</v>
      </c>
      <c r="B8" s="83">
        <v>100</v>
      </c>
      <c r="C8" s="79"/>
      <c r="D8" s="79"/>
      <c r="E8" s="79"/>
      <c r="F8" s="79"/>
      <c r="M8" s="46">
        <f t="shared" si="4"/>
        <v>-3.6</v>
      </c>
      <c r="N8" s="80">
        <f t="shared" si="0"/>
        <v>6.119019301137719E-4</v>
      </c>
      <c r="O8" s="80">
        <f t="shared" si="1"/>
        <v>1.5910859015753364E-4</v>
      </c>
      <c r="R8" s="46">
        <f t="shared" si="5"/>
        <v>-3.8848528137423854</v>
      </c>
      <c r="S8" s="81">
        <f t="shared" si="2"/>
        <v>2.1072023064234636E-4</v>
      </c>
      <c r="U8" s="46">
        <f t="shared" si="6"/>
        <v>3.8848528137423854</v>
      </c>
      <c r="V8" s="81">
        <f t="shared" si="3"/>
        <v>2.1072023064234636E-4</v>
      </c>
    </row>
    <row r="9" spans="1:22" ht="13" customHeight="1" x14ac:dyDescent="0.15">
      <c r="A9" s="66" t="s">
        <v>2</v>
      </c>
      <c r="B9" s="83">
        <v>0.1</v>
      </c>
      <c r="C9" s="79"/>
      <c r="D9" s="79"/>
      <c r="E9" s="79"/>
      <c r="F9" s="79"/>
      <c r="M9" s="46">
        <f t="shared" si="4"/>
        <v>-3.4666666666666668</v>
      </c>
      <c r="N9" s="80">
        <f t="shared" si="0"/>
        <v>9.8012796127537193E-4</v>
      </c>
      <c r="O9" s="80">
        <f t="shared" si="1"/>
        <v>2.6347746559529916E-4</v>
      </c>
      <c r="R9" s="46">
        <f t="shared" si="5"/>
        <v>-3.8464704183231806</v>
      </c>
      <c r="S9" s="81">
        <f t="shared" si="2"/>
        <v>2.4442406430627979E-4</v>
      </c>
      <c r="U9" s="46">
        <f t="shared" si="6"/>
        <v>3.8464704183231806</v>
      </c>
      <c r="V9" s="81">
        <f t="shared" si="3"/>
        <v>2.4442406430627979E-4</v>
      </c>
    </row>
    <row r="10" spans="1:22" ht="13" customHeight="1" x14ac:dyDescent="0.15">
      <c r="A10" s="66" t="s">
        <v>125</v>
      </c>
      <c r="B10" s="149">
        <v>90</v>
      </c>
      <c r="C10" s="79"/>
      <c r="D10" s="79"/>
      <c r="E10" s="79"/>
      <c r="F10" s="79"/>
      <c r="M10" s="46">
        <f>8/60+M9</f>
        <v>-3.3333333333333335</v>
      </c>
      <c r="N10" s="80">
        <f t="shared" si="0"/>
        <v>1.5422789962911052E-3</v>
      </c>
      <c r="O10" s="80">
        <f t="shared" si="1"/>
        <v>4.2906033319683703E-4</v>
      </c>
      <c r="R10" s="46">
        <f>($Q$5-$R$5)/60+R9</f>
        <v>-3.8080880229039757</v>
      </c>
      <c r="S10" s="81">
        <f t="shared" si="2"/>
        <v>2.8310131289327722E-4</v>
      </c>
      <c r="U10" s="46">
        <f>($T$5-$U$5)/60+U9</f>
        <v>3.8080880229039757</v>
      </c>
      <c r="V10" s="81">
        <f t="shared" si="3"/>
        <v>2.8310131289327722E-4</v>
      </c>
    </row>
    <row r="11" spans="1:22" ht="13" customHeight="1" x14ac:dyDescent="0.15">
      <c r="A11" s="66" t="s">
        <v>95</v>
      </c>
      <c r="B11" s="64">
        <f>B6/SQRT(B7)</f>
        <v>9.428090415820634</v>
      </c>
      <c r="C11" s="79"/>
      <c r="D11" s="79"/>
      <c r="E11" s="79"/>
      <c r="F11" s="79"/>
      <c r="M11" s="46">
        <f t="shared" si="4"/>
        <v>-3.2</v>
      </c>
      <c r="N11" s="80">
        <f t="shared" si="0"/>
        <v>2.3840882014648404E-3</v>
      </c>
      <c r="O11" s="80">
        <f t="shared" si="1"/>
        <v>6.8713793791584719E-4</v>
      </c>
      <c r="R11" s="46">
        <f t="shared" si="5"/>
        <v>-3.7697056274847709</v>
      </c>
      <c r="S11" s="81">
        <f t="shared" si="2"/>
        <v>3.2741607602192814E-4</v>
      </c>
      <c r="U11" s="46">
        <f t="shared" si="6"/>
        <v>3.7697056274847709</v>
      </c>
      <c r="V11" s="81">
        <f t="shared" si="3"/>
        <v>3.2741607602192814E-4</v>
      </c>
    </row>
    <row r="12" spans="1:22" ht="13" customHeight="1" x14ac:dyDescent="0.15">
      <c r="A12" s="66"/>
      <c r="B12" s="79"/>
      <c r="C12" s="79"/>
      <c r="D12" s="79"/>
      <c r="E12" s="79"/>
      <c r="F12" s="79"/>
      <c r="M12" s="46">
        <f t="shared" si="4"/>
        <v>-3.0666666666666669</v>
      </c>
      <c r="N12" s="80">
        <f t="shared" si="0"/>
        <v>3.6204362280192869E-3</v>
      </c>
      <c r="O12" s="80">
        <f t="shared" si="1"/>
        <v>1.0823004813931892E-3</v>
      </c>
      <c r="P12">
        <v>-3</v>
      </c>
      <c r="R12" s="46">
        <f t="shared" si="5"/>
        <v>-3.731323232065566</v>
      </c>
      <c r="S12" s="81">
        <f t="shared" si="2"/>
        <v>3.7811012670722471E-4</v>
      </c>
      <c r="U12" s="46">
        <f t="shared" si="6"/>
        <v>3.731323232065566</v>
      </c>
      <c r="V12" s="81">
        <f t="shared" si="3"/>
        <v>3.7811012670722471E-4</v>
      </c>
    </row>
    <row r="13" spans="1:22" ht="13" customHeight="1" x14ac:dyDescent="0.15">
      <c r="A13" s="66" t="s">
        <v>152</v>
      </c>
      <c r="B13" s="64">
        <f>(B5-B8)/B11</f>
        <v>-1.697056274847714</v>
      </c>
      <c r="C13" s="79"/>
      <c r="D13" s="79"/>
      <c r="E13" s="79"/>
      <c r="F13" s="79"/>
      <c r="M13" s="46">
        <f t="shared" si="4"/>
        <v>-2.9333333333333336</v>
      </c>
      <c r="N13" s="80">
        <f t="shared" si="0"/>
        <v>5.4010561811943707E-3</v>
      </c>
      <c r="O13" s="80">
        <f t="shared" si="1"/>
        <v>1.6767182274731588E-3</v>
      </c>
      <c r="R13" s="46">
        <f t="shared" si="5"/>
        <v>-3.6929408366463612</v>
      </c>
      <c r="S13" s="81">
        <f t="shared" si="2"/>
        <v>4.3601036381064911E-4</v>
      </c>
      <c r="U13" s="46">
        <f t="shared" si="6"/>
        <v>3.6929408366463612</v>
      </c>
      <c r="V13" s="81">
        <f t="shared" si="3"/>
        <v>4.3601036381064911E-4</v>
      </c>
    </row>
    <row r="14" spans="1:22" ht="13" customHeight="1" x14ac:dyDescent="0.15">
      <c r="A14" s="66"/>
      <c r="C14" s="45" t="s">
        <v>3</v>
      </c>
      <c r="M14" s="46">
        <f t="shared" si="4"/>
        <v>-2.8000000000000003</v>
      </c>
      <c r="N14" s="80">
        <f t="shared" si="0"/>
        <v>7.9154515829799564E-3</v>
      </c>
      <c r="O14" s="80">
        <f t="shared" si="1"/>
        <v>2.5551303304279286E-3</v>
      </c>
      <c r="R14" s="46">
        <f t="shared" si="5"/>
        <v>-3.6545584412271563</v>
      </c>
      <c r="S14" s="81">
        <f t="shared" si="2"/>
        <v>5.0203675020269237E-4</v>
      </c>
      <c r="U14" s="46">
        <f t="shared" si="6"/>
        <v>3.6545584412271563</v>
      </c>
      <c r="V14" s="81">
        <f t="shared" si="3"/>
        <v>5.0203675020269237E-4</v>
      </c>
    </row>
    <row r="15" spans="1:22" ht="13" customHeight="1" x14ac:dyDescent="0.15">
      <c r="A15" s="90" t="s">
        <v>135</v>
      </c>
      <c r="B15" s="92">
        <f>1-_xlfn.NORM.S.DIST(ABS(B13),TRUE)</f>
        <v>4.4843010885182277E-2</v>
      </c>
      <c r="C15" s="93" t="str">
        <f>IF(B15&lt;$B$9,"Reject Ho:","Fail to Reject Ho:")</f>
        <v>Reject Ho:</v>
      </c>
      <c r="M15" s="46">
        <f t="shared" si="4"/>
        <v>-2.666666666666667</v>
      </c>
      <c r="N15" s="80">
        <f t="shared" si="0"/>
        <v>1.1395986023797433E-2</v>
      </c>
      <c r="O15" s="80">
        <f t="shared" si="1"/>
        <v>3.8303805675897291E-3</v>
      </c>
      <c r="R15" s="46">
        <f t="shared" si="5"/>
        <v>-3.6161760458079515</v>
      </c>
      <c r="S15" s="81">
        <f t="shared" si="2"/>
        <v>5.7721073643674686E-4</v>
      </c>
      <c r="U15" s="46">
        <f t="shared" si="6"/>
        <v>3.6161760458079515</v>
      </c>
      <c r="V15" s="81">
        <f t="shared" si="3"/>
        <v>5.7721073643674686E-4</v>
      </c>
    </row>
    <row r="16" spans="1:22" ht="13" customHeight="1" x14ac:dyDescent="0.15">
      <c r="A16" s="90" t="s">
        <v>43</v>
      </c>
      <c r="B16" s="92">
        <f>2*B15</f>
        <v>8.9686021770364555E-2</v>
      </c>
      <c r="C16" s="93" t="str">
        <f>IF(B16&lt;$B$9,"Reject Ho:","Fail to Reject Ho:")</f>
        <v>Reject Ho:</v>
      </c>
      <c r="M16" s="46">
        <f t="shared" si="4"/>
        <v>-2.5333333333333337</v>
      </c>
      <c r="N16" s="80">
        <f t="shared" si="0"/>
        <v>1.6117858113648978E-2</v>
      </c>
      <c r="O16" s="80">
        <f t="shared" si="1"/>
        <v>5.6491727555606323E-3</v>
      </c>
      <c r="R16" s="46">
        <f t="shared" si="5"/>
        <v>-3.5777936503887466</v>
      </c>
      <c r="S16" s="81">
        <f t="shared" si="2"/>
        <v>6.6266416432952079E-4</v>
      </c>
      <c r="U16" s="46">
        <f t="shared" si="6"/>
        <v>3.5777936503887466</v>
      </c>
      <c r="V16" s="81">
        <f t="shared" si="3"/>
        <v>6.6266416432952079E-4</v>
      </c>
    </row>
    <row r="17" spans="1:22" ht="13" customHeight="1" x14ac:dyDescent="0.15">
      <c r="A17" s="77"/>
      <c r="M17" s="46">
        <f t="shared" si="4"/>
        <v>-2.4000000000000004</v>
      </c>
      <c r="N17" s="80">
        <f t="shared" si="0"/>
        <v>2.2394530294842882E-2</v>
      </c>
      <c r="O17" s="80">
        <f t="shared" si="1"/>
        <v>8.1975359245961138E-3</v>
      </c>
      <c r="R17" s="46">
        <f t="shared" si="5"/>
        <v>-3.5394112549695418</v>
      </c>
      <c r="S17" s="81">
        <f t="shared" si="2"/>
        <v>7.5964863868357372E-4</v>
      </c>
      <c r="U17" s="46">
        <f t="shared" si="6"/>
        <v>3.5394112549695418</v>
      </c>
      <c r="V17" s="81">
        <f t="shared" si="3"/>
        <v>7.5964863868357372E-4</v>
      </c>
    </row>
    <row r="18" spans="1:22" ht="13" customHeight="1" x14ac:dyDescent="0.15">
      <c r="A18" s="66" t="s">
        <v>5</v>
      </c>
      <c r="B18" s="64">
        <f>_xlfn.NORM.INV(B9,0,1)</f>
        <v>-1.2815515655446006</v>
      </c>
      <c r="C18" s="68">
        <f>ABS(B18)</f>
        <v>1.2815515655446006</v>
      </c>
      <c r="M18" s="46">
        <f t="shared" si="4"/>
        <v>-2.2666666666666671</v>
      </c>
      <c r="N18" s="80">
        <f t="shared" si="0"/>
        <v>3.0567209727885444E-2</v>
      </c>
      <c r="O18" s="80">
        <f t="shared" si="1"/>
        <v>1.170529808055833E-2</v>
      </c>
      <c r="R18" s="46">
        <f t="shared" si="5"/>
        <v>-3.5010288595503369</v>
      </c>
      <c r="S18" s="81">
        <f t="shared" si="2"/>
        <v>8.6954534844478778E-4</v>
      </c>
      <c r="U18" s="46">
        <f t="shared" si="6"/>
        <v>3.5010288595503369</v>
      </c>
      <c r="V18" s="81">
        <f t="shared" si="3"/>
        <v>8.6954534844478778E-4</v>
      </c>
    </row>
    <row r="19" spans="1:22" ht="13" customHeight="1" x14ac:dyDescent="0.15">
      <c r="A19" s="66" t="s">
        <v>6</v>
      </c>
      <c r="B19" s="64">
        <f>_xlfn.NORM.INV(B9/2,0,1)</f>
        <v>-1.6448536269514726</v>
      </c>
      <c r="C19" s="68">
        <f>ABS(B19)</f>
        <v>1.6448536269514726</v>
      </c>
      <c r="M19" s="46">
        <f t="shared" si="4"/>
        <v>-2.1333333333333337</v>
      </c>
      <c r="N19" s="80">
        <f t="shared" si="0"/>
        <v>4.0987256045222159E-2</v>
      </c>
      <c r="O19" s="80">
        <f t="shared" si="1"/>
        <v>1.6448695822745309E-2</v>
      </c>
      <c r="R19" s="46">
        <f t="shared" si="5"/>
        <v>-3.4626464641311321</v>
      </c>
      <c r="S19" s="81">
        <f t="shared" si="2"/>
        <v>9.938753108424442E-4</v>
      </c>
      <c r="U19" s="46">
        <f t="shared" si="6"/>
        <v>3.4626464641311321</v>
      </c>
      <c r="V19" s="81">
        <f t="shared" si="3"/>
        <v>9.938753108424442E-4</v>
      </c>
    </row>
    <row r="20" spans="1:22" ht="13" customHeight="1" x14ac:dyDescent="0.15">
      <c r="C20" s="63"/>
      <c r="D20" s="63"/>
      <c r="E20" s="63"/>
      <c r="F20" s="63"/>
      <c r="M20" s="46">
        <f t="shared" si="4"/>
        <v>-2.0000000000000004</v>
      </c>
      <c r="N20" s="80">
        <f t="shared" si="0"/>
        <v>5.3990966513188007E-2</v>
      </c>
      <c r="O20" s="80">
        <f t="shared" si="1"/>
        <v>2.2750131948179184E-2</v>
      </c>
      <c r="P20">
        <v>-2</v>
      </c>
      <c r="R20" s="46">
        <f t="shared" si="5"/>
        <v>-3.4242640687119272</v>
      </c>
      <c r="S20" s="81">
        <f t="shared" si="2"/>
        <v>1.1343100035025341E-3</v>
      </c>
      <c r="U20" s="46">
        <f t="shared" si="6"/>
        <v>3.4242640687119272</v>
      </c>
      <c r="V20" s="81">
        <f t="shared" si="3"/>
        <v>1.1343100035025341E-3</v>
      </c>
    </row>
    <row r="21" spans="1:22" ht="13" customHeight="1" x14ac:dyDescent="0.15">
      <c r="C21" s="63"/>
      <c r="D21" s="63"/>
      <c r="E21" s="63"/>
      <c r="F21" s="63"/>
      <c r="M21" s="46">
        <f t="shared" si="4"/>
        <v>-1.8666666666666671</v>
      </c>
      <c r="N21" s="80">
        <f t="shared" si="0"/>
        <v>6.9867076070915121E-2</v>
      </c>
      <c r="O21" s="80">
        <f t="shared" si="1"/>
        <v>3.0974075706740548E-2</v>
      </c>
      <c r="R21" s="46">
        <f t="shared" si="5"/>
        <v>-3.3858816732927224</v>
      </c>
      <c r="S21" s="81">
        <f t="shared" si="2"/>
        <v>1.2926823401580361E-3</v>
      </c>
      <c r="U21" s="46">
        <f t="shared" si="6"/>
        <v>3.3858816732927224</v>
      </c>
      <c r="V21" s="81">
        <f t="shared" si="3"/>
        <v>1.2926823401580361E-3</v>
      </c>
    </row>
    <row r="22" spans="1:22" ht="13" customHeight="1" x14ac:dyDescent="0.15">
      <c r="A22" s="95" t="s">
        <v>11</v>
      </c>
      <c r="B22" s="96"/>
      <c r="C22" s="97"/>
      <c r="D22" s="63"/>
      <c r="E22" s="63"/>
      <c r="F22" s="63"/>
      <c r="M22" s="46">
        <f t="shared" si="4"/>
        <v>-1.7333333333333338</v>
      </c>
      <c r="N22" s="80">
        <f t="shared" si="0"/>
        <v>8.8818461090591799E-2</v>
      </c>
      <c r="O22" s="80">
        <f t="shared" si="1"/>
        <v>4.1518219688779057E-2</v>
      </c>
      <c r="R22" s="46">
        <f t="shared" si="5"/>
        <v>-3.3474992778735175</v>
      </c>
      <c r="S22" s="81">
        <f t="shared" si="2"/>
        <v>1.4709979354180908E-3</v>
      </c>
      <c r="U22" s="46">
        <f t="shared" si="6"/>
        <v>3.3474992778735175</v>
      </c>
      <c r="V22" s="81">
        <f t="shared" si="3"/>
        <v>1.4709979354180908E-3</v>
      </c>
    </row>
    <row r="23" spans="1:22" ht="13" customHeight="1" x14ac:dyDescent="0.15">
      <c r="A23" s="19" t="s">
        <v>130</v>
      </c>
      <c r="B23" s="64">
        <f>B5</f>
        <v>84</v>
      </c>
      <c r="C23" s="87"/>
      <c r="D23" s="63"/>
      <c r="E23" s="63"/>
      <c r="F23" s="63"/>
      <c r="M23" s="46">
        <f t="shared" si="4"/>
        <v>-1.6000000000000005</v>
      </c>
      <c r="N23" s="80">
        <f t="shared" si="0"/>
        <v>0.11092083467945546</v>
      </c>
      <c r="O23" s="80">
        <f t="shared" si="1"/>
        <v>5.4799291699557925E-2</v>
      </c>
      <c r="R23" s="46">
        <f t="shared" si="5"/>
        <v>-3.3091168824543127</v>
      </c>
      <c r="S23" s="81">
        <f t="shared" si="2"/>
        <v>1.6714465931309866E-3</v>
      </c>
      <c r="U23" s="46">
        <f t="shared" si="6"/>
        <v>3.3091168824543127</v>
      </c>
      <c r="V23" s="81">
        <f t="shared" si="3"/>
        <v>1.6714465931309866E-3</v>
      </c>
    </row>
    <row r="24" spans="1:22" ht="13" customHeight="1" x14ac:dyDescent="0.15">
      <c r="A24" s="19" t="s">
        <v>41</v>
      </c>
      <c r="B24" s="64">
        <f>B6</f>
        <v>80</v>
      </c>
      <c r="C24" s="87"/>
      <c r="M24" s="46">
        <f t="shared" si="4"/>
        <v>-1.4666666666666672</v>
      </c>
      <c r="N24" s="80">
        <f t="shared" si="0"/>
        <v>0.13608248241227794</v>
      </c>
      <c r="O24" s="80">
        <f t="shared" si="1"/>
        <v>7.1233377413985999E-2</v>
      </c>
      <c r="R24" s="46">
        <f t="shared" si="5"/>
        <v>-3.2707344870351078</v>
      </c>
      <c r="S24" s="81">
        <f t="shared" si="2"/>
        <v>1.8964139412295784E-3</v>
      </c>
      <c r="U24" s="46">
        <f t="shared" si="6"/>
        <v>3.2707344870351078</v>
      </c>
      <c r="V24" s="81">
        <f t="shared" si="3"/>
        <v>1.8964139412295784E-3</v>
      </c>
    </row>
    <row r="25" spans="1:22" ht="13" customHeight="1" x14ac:dyDescent="0.15">
      <c r="A25" s="19" t="s">
        <v>71</v>
      </c>
      <c r="B25" s="84">
        <f>B7</f>
        <v>72</v>
      </c>
      <c r="C25" s="87"/>
      <c r="M25" s="46">
        <f t="shared" si="4"/>
        <v>-1.3333333333333339</v>
      </c>
      <c r="N25" s="80">
        <f t="shared" si="0"/>
        <v>0.16401007467599349</v>
      </c>
      <c r="O25" s="80">
        <f t="shared" si="1"/>
        <v>9.1211219725867779E-2</v>
      </c>
      <c r="R25" s="46">
        <f t="shared" si="5"/>
        <v>-3.232352091615903</v>
      </c>
      <c r="S25" s="81">
        <f t="shared" si="2"/>
        <v>2.1484931236458726E-3</v>
      </c>
      <c r="U25" s="46">
        <f t="shared" si="6"/>
        <v>3.232352091615903</v>
      </c>
      <c r="V25" s="81">
        <f t="shared" si="3"/>
        <v>2.1484931236458726E-3</v>
      </c>
    </row>
    <row r="26" spans="1:22" ht="13" customHeight="1" x14ac:dyDescent="0.15">
      <c r="A26" s="19" t="s">
        <v>125</v>
      </c>
      <c r="B26" s="88">
        <f>B10/100</f>
        <v>0.9</v>
      </c>
      <c r="C26" s="89"/>
      <c r="D26" s="65"/>
      <c r="E26" s="65"/>
      <c r="F26" s="65"/>
      <c r="M26" s="46">
        <f t="shared" si="4"/>
        <v>-1.2000000000000006</v>
      </c>
      <c r="N26" s="80">
        <f t="shared" si="0"/>
        <v>0.19418605498321281</v>
      </c>
      <c r="O26" s="80">
        <f t="shared" si="1"/>
        <v>0.1150696702217081</v>
      </c>
      <c r="R26" s="46">
        <f t="shared" si="5"/>
        <v>-3.1939696961966981</v>
      </c>
      <c r="S26" s="81">
        <f t="shared" si="2"/>
        <v>2.4304964470069851E-3</v>
      </c>
      <c r="U26" s="46">
        <f t="shared" si="6"/>
        <v>3.1939696961966981</v>
      </c>
      <c r="V26" s="81">
        <f t="shared" si="3"/>
        <v>2.4304964470069851E-3</v>
      </c>
    </row>
    <row r="27" spans="1:22" ht="13" customHeight="1" x14ac:dyDescent="0.15">
      <c r="A27" s="19" t="s">
        <v>72</v>
      </c>
      <c r="B27" s="65">
        <f>B24/B25^0.5</f>
        <v>9.428090415820634</v>
      </c>
      <c r="C27" s="87"/>
      <c r="M27" s="46">
        <f t="shared" si="4"/>
        <v>-1.0666666666666673</v>
      </c>
      <c r="N27" s="80">
        <f t="shared" si="0"/>
        <v>0.2258628274671243</v>
      </c>
      <c r="O27" s="80">
        <f t="shared" si="1"/>
        <v>0.14306119219550886</v>
      </c>
      <c r="P27">
        <v>-1</v>
      </c>
      <c r="R27" s="46">
        <f t="shared" si="5"/>
        <v>-3.1555873007774933</v>
      </c>
      <c r="S27" s="81">
        <f t="shared" si="2"/>
        <v>2.7454668664807125E-3</v>
      </c>
      <c r="U27" s="46">
        <f t="shared" si="6"/>
        <v>3.1555873007774933</v>
      </c>
      <c r="V27" s="81">
        <f t="shared" si="3"/>
        <v>2.7454668664807125E-3</v>
      </c>
    </row>
    <row r="28" spans="1:22" ht="13" customHeight="1" x14ac:dyDescent="0.15">
      <c r="A28" s="66" t="s">
        <v>65</v>
      </c>
      <c r="B28" s="64">
        <f>ABS(_xlfn.NORM.S.INV((1-B26)/2))</f>
        <v>1.6448536269514726</v>
      </c>
      <c r="D28" s="64"/>
      <c r="E28" s="64"/>
      <c r="F28" s="64"/>
      <c r="M28" s="46">
        <f t="shared" si="4"/>
        <v>-0.93333333333333401</v>
      </c>
      <c r="N28" s="80">
        <f t="shared" si="0"/>
        <v>0.25807782590323747</v>
      </c>
      <c r="O28" s="80">
        <f t="shared" si="1"/>
        <v>0.17532394485222932</v>
      </c>
      <c r="R28" s="46">
        <f t="shared" si="5"/>
        <v>-3.1172049053582884</v>
      </c>
      <c r="S28" s="81">
        <f t="shared" si="2"/>
        <v>3.0966891814504095E-3</v>
      </c>
      <c r="U28" s="46">
        <f t="shared" si="6"/>
        <v>3.1172049053582884</v>
      </c>
      <c r="V28" s="81">
        <f t="shared" si="3"/>
        <v>3.0966891814504095E-3</v>
      </c>
    </row>
    <row r="29" spans="1:22" ht="13" customHeight="1" x14ac:dyDescent="0.15">
      <c r="A29" s="90" t="s">
        <v>126</v>
      </c>
      <c r="B29" s="94">
        <f>B28*B27</f>
        <v>15.507828715688987</v>
      </c>
      <c r="M29" s="46">
        <f t="shared" si="4"/>
        <v>-0.80000000000000071</v>
      </c>
      <c r="N29" s="80">
        <f t="shared" si="0"/>
        <v>0.28969155276148256</v>
      </c>
      <c r="O29" s="80">
        <f t="shared" si="1"/>
        <v>0.21185539858339644</v>
      </c>
      <c r="R29" s="46">
        <f t="shared" si="5"/>
        <v>-3.0788225099390836</v>
      </c>
      <c r="S29" s="81">
        <f t="shared" si="2"/>
        <v>3.4877007978123212E-3</v>
      </c>
      <c r="U29" s="46">
        <f t="shared" si="6"/>
        <v>3.0788225099390836</v>
      </c>
      <c r="V29" s="81">
        <f t="shared" si="3"/>
        <v>3.4877007978123212E-3</v>
      </c>
    </row>
    <row r="30" spans="1:22" ht="13" customHeight="1" x14ac:dyDescent="0.15">
      <c r="A30" s="90" t="s">
        <v>127</v>
      </c>
      <c r="B30" s="91">
        <f>B23-B29</f>
        <v>68.492171284311013</v>
      </c>
      <c r="D30" s="65"/>
      <c r="E30" s="65"/>
      <c r="F30" s="65"/>
      <c r="M30" s="46">
        <f t="shared" si="4"/>
        <v>-0.66666666666666741</v>
      </c>
      <c r="N30" s="80">
        <f t="shared" si="0"/>
        <v>0.31944800552235209</v>
      </c>
      <c r="O30" s="80">
        <f t="shared" si="1"/>
        <v>0.25249253754692264</v>
      </c>
      <c r="R30" s="46">
        <f t="shared" si="5"/>
        <v>-3.0404401145198787</v>
      </c>
      <c r="S30" s="81">
        <f t="shared" si="2"/>
        <v>3.9223018997738774E-3</v>
      </c>
      <c r="U30" s="46">
        <f t="shared" si="6"/>
        <v>3.0404401145198787</v>
      </c>
      <c r="V30" s="81">
        <f t="shared" si="3"/>
        <v>3.9223018997738774E-3</v>
      </c>
    </row>
    <row r="31" spans="1:22" ht="13" customHeight="1" x14ac:dyDescent="0.15">
      <c r="A31" s="90" t="s">
        <v>128</v>
      </c>
      <c r="B31" s="91">
        <f>B23+B29</f>
        <v>99.507828715688987</v>
      </c>
      <c r="D31" s="65"/>
      <c r="E31" s="65"/>
      <c r="F31" s="65"/>
      <c r="M31" s="46">
        <f t="shared" si="4"/>
        <v>-0.5333333333333341</v>
      </c>
      <c r="N31" s="80">
        <f t="shared" si="0"/>
        <v>0.34605389317692276</v>
      </c>
      <c r="O31" s="80">
        <f t="shared" si="1"/>
        <v>0.29690142860385094</v>
      </c>
      <c r="R31" s="46">
        <f t="shared" si="5"/>
        <v>-3.0020577191006739</v>
      </c>
      <c r="S31" s="81">
        <f t="shared" si="2"/>
        <v>4.4045648602803094E-3</v>
      </c>
      <c r="U31" s="46">
        <f t="shared" si="6"/>
        <v>3.0020577191006739</v>
      </c>
      <c r="V31" s="81">
        <f t="shared" si="3"/>
        <v>4.4045648602803094E-3</v>
      </c>
    </row>
    <row r="32" spans="1:22" ht="13" customHeight="1" x14ac:dyDescent="0.15">
      <c r="M32" s="46">
        <f t="shared" si="4"/>
        <v>-0.4000000000000008</v>
      </c>
      <c r="N32" s="80">
        <f t="shared" si="0"/>
        <v>0.36827014030332322</v>
      </c>
      <c r="O32" s="80">
        <f t="shared" si="1"/>
        <v>0.34457825838967548</v>
      </c>
      <c r="R32" s="46">
        <f t="shared" si="5"/>
        <v>-2.963675323681469</v>
      </c>
      <c r="S32" s="81">
        <f t="shared" si="2"/>
        <v>4.9388427058241844E-3</v>
      </c>
      <c r="U32" s="46">
        <f t="shared" si="6"/>
        <v>2.963675323681469</v>
      </c>
      <c r="V32" s="81">
        <f t="shared" si="3"/>
        <v>4.9388427058241844E-3</v>
      </c>
    </row>
    <row r="33" spans="13:22" ht="13" customHeight="1" x14ac:dyDescent="0.15">
      <c r="M33" s="46">
        <f t="shared" si="4"/>
        <v>-0.2666666666666675</v>
      </c>
      <c r="N33" s="80">
        <f t="shared" si="0"/>
        <v>0.3850068745960139</v>
      </c>
      <c r="O33" s="80">
        <f t="shared" si="1"/>
        <v>0.39486291046402483</v>
      </c>
      <c r="R33" s="46">
        <f t="shared" si="5"/>
        <v>-2.9252929282622642</v>
      </c>
      <c r="S33" s="81">
        <f t="shared" si="2"/>
        <v>5.5297764386336417E-3</v>
      </c>
      <c r="U33" s="46">
        <f t="shared" si="6"/>
        <v>2.9252929282622642</v>
      </c>
      <c r="V33" s="81">
        <f t="shared" si="3"/>
        <v>5.5297764386336417E-3</v>
      </c>
    </row>
    <row r="34" spans="13:22" ht="13" customHeight="1" x14ac:dyDescent="0.15">
      <c r="M34" s="46">
        <f t="shared" si="4"/>
        <v>-0.13333333333333416</v>
      </c>
      <c r="N34" s="80">
        <f t="shared" si="0"/>
        <v>0.39541184088581766</v>
      </c>
      <c r="O34" s="80">
        <f t="shared" si="1"/>
        <v>0.44696488337638568</v>
      </c>
      <c r="R34" s="46">
        <f t="shared" si="5"/>
        <v>-2.8869105328430593</v>
      </c>
      <c r="S34" s="81">
        <f t="shared" si="2"/>
        <v>6.1823010073466106E-3</v>
      </c>
      <c r="U34" s="46">
        <f t="shared" si="6"/>
        <v>2.8869105328430593</v>
      </c>
      <c r="V34" s="81">
        <f t="shared" si="3"/>
        <v>6.1823010073466106E-3</v>
      </c>
    </row>
    <row r="35" spans="13:22" ht="13" customHeight="1" x14ac:dyDescent="0.15">
      <c r="M35" s="46">
        <f t="shared" si="4"/>
        <v>-8.3266726846886741E-16</v>
      </c>
      <c r="N35" s="80">
        <f t="shared" si="0"/>
        <v>0.3989422804014327</v>
      </c>
      <c r="O35" s="80">
        <f t="shared" si="1"/>
        <v>0.49999999999999967</v>
      </c>
      <c r="P35">
        <v>0</v>
      </c>
      <c r="R35" s="46">
        <f t="shared" si="5"/>
        <v>-2.8485281374238545</v>
      </c>
      <c r="S35" s="81">
        <f t="shared" si="2"/>
        <v>6.9016497065341638E-3</v>
      </c>
      <c r="U35" s="46">
        <f t="shared" si="6"/>
        <v>2.8485281374238545</v>
      </c>
      <c r="V35" s="81">
        <f t="shared" si="3"/>
        <v>6.9016497065341638E-3</v>
      </c>
    </row>
    <row r="36" spans="13:22" ht="13" customHeight="1" x14ac:dyDescent="0.15">
      <c r="M36" s="46">
        <f t="shared" si="4"/>
        <v>0.1333333333333325</v>
      </c>
      <c r="N36" s="80">
        <f t="shared" si="0"/>
        <v>0.39541184088581777</v>
      </c>
      <c r="O36" s="80">
        <f t="shared" si="1"/>
        <v>0.55303511662361371</v>
      </c>
      <c r="R36" s="46">
        <f t="shared" si="5"/>
        <v>-2.8101457420046496</v>
      </c>
      <c r="S36" s="81">
        <f t="shared" si="2"/>
        <v>7.6933567761269788E-3</v>
      </c>
      <c r="U36" s="46">
        <f t="shared" si="6"/>
        <v>2.8101457420046496</v>
      </c>
      <c r="V36" s="81">
        <f t="shared" si="3"/>
        <v>7.6933567761269788E-3</v>
      </c>
    </row>
    <row r="37" spans="13:22" ht="13" customHeight="1" x14ac:dyDescent="0.15">
      <c r="M37" s="46">
        <f t="shared" si="4"/>
        <v>0.26666666666666583</v>
      </c>
      <c r="N37" s="80">
        <f t="shared" ref="N37:N65" si="7">_xlfn.NORM.DIST(M37,0,1,FALSE)</f>
        <v>0.38500687459601407</v>
      </c>
      <c r="O37" s="80">
        <f t="shared" ref="O37:O65" si="8">_xlfn.NORM.DIST(M37,0,1,TRUE)</f>
        <v>0.60513708953597456</v>
      </c>
      <c r="R37" s="46">
        <f t="shared" si="5"/>
        <v>-2.7717633465854448</v>
      </c>
      <c r="S37" s="81">
        <f t="shared" ref="S37:S65" si="9">_xlfn.NORM.DIST(R37,0,1,FALSE)</f>
        <v>8.5632579642274873E-3</v>
      </c>
      <c r="U37" s="46">
        <f t="shared" si="6"/>
        <v>2.7717633465854448</v>
      </c>
      <c r="V37" s="81">
        <f t="shared" ref="V37:V65" si="10">_xlfn.NORM.DIST(U37,0,1,FALSE)</f>
        <v>8.5632579642274873E-3</v>
      </c>
    </row>
    <row r="38" spans="13:22" ht="13" customHeight="1" x14ac:dyDescent="0.15">
      <c r="M38" s="46">
        <f t="shared" si="4"/>
        <v>0.39999999999999913</v>
      </c>
      <c r="N38" s="80">
        <f t="shared" si="7"/>
        <v>0.36827014030332345</v>
      </c>
      <c r="O38" s="80">
        <f t="shared" si="8"/>
        <v>0.65542174161032385</v>
      </c>
      <c r="R38" s="46">
        <f t="shared" si="5"/>
        <v>-2.7333809511662399</v>
      </c>
      <c r="S38" s="81">
        <f t="shared" si="9"/>
        <v>9.5174888112689818E-3</v>
      </c>
      <c r="U38" s="46">
        <f t="shared" si="6"/>
        <v>2.7333809511662399</v>
      </c>
      <c r="V38" s="81">
        <f t="shared" si="10"/>
        <v>9.5174888112689818E-3</v>
      </c>
    </row>
    <row r="39" spans="13:22" ht="13" customHeight="1" x14ac:dyDescent="0.15">
      <c r="M39" s="46">
        <f t="shared" si="4"/>
        <v>0.53333333333333244</v>
      </c>
      <c r="N39" s="80">
        <f t="shared" si="7"/>
        <v>0.34605389317692309</v>
      </c>
      <c r="O39" s="80">
        <f t="shared" si="8"/>
        <v>0.70309857139614851</v>
      </c>
      <c r="R39" s="46">
        <f t="shared" si="5"/>
        <v>-2.6949985557470351</v>
      </c>
      <c r="S39" s="81">
        <f t="shared" si="9"/>
        <v>1.0562480410328975E-2</v>
      </c>
      <c r="U39" s="46">
        <f t="shared" si="6"/>
        <v>2.6949985557470351</v>
      </c>
      <c r="V39" s="81">
        <f t="shared" si="10"/>
        <v>1.0562480410328975E-2</v>
      </c>
    </row>
    <row r="40" spans="13:22" ht="13" customHeight="1" x14ac:dyDescent="0.15">
      <c r="M40" s="46">
        <f t="shared" si="4"/>
        <v>0.66666666666666574</v>
      </c>
      <c r="N40" s="80">
        <f t="shared" si="7"/>
        <v>0.31944800552235242</v>
      </c>
      <c r="O40" s="80">
        <f t="shared" si="8"/>
        <v>0.74750746245307687</v>
      </c>
      <c r="R40" s="46">
        <f t="shared" si="5"/>
        <v>-2.6566161603278302</v>
      </c>
      <c r="S40" s="81">
        <f t="shared" si="9"/>
        <v>1.1704952397934735E-2</v>
      </c>
      <c r="U40" s="46">
        <f t="shared" si="6"/>
        <v>2.6566161603278302</v>
      </c>
      <c r="V40" s="81">
        <f t="shared" si="10"/>
        <v>1.1704952397934735E-2</v>
      </c>
    </row>
    <row r="41" spans="13:22" ht="13" customHeight="1" x14ac:dyDescent="0.15">
      <c r="M41" s="46">
        <f t="shared" si="4"/>
        <v>0.79999999999999905</v>
      </c>
      <c r="N41" s="80">
        <f t="shared" si="7"/>
        <v>0.28969155276148301</v>
      </c>
      <c r="O41" s="80">
        <f t="shared" si="8"/>
        <v>0.78814460141660292</v>
      </c>
      <c r="R41" s="46">
        <f t="shared" si="5"/>
        <v>-2.6182337649086254</v>
      </c>
      <c r="S41" s="81">
        <f t="shared" si="9"/>
        <v>1.2951902932225744E-2</v>
      </c>
      <c r="U41" s="46">
        <f t="shared" si="6"/>
        <v>2.6182337649086254</v>
      </c>
      <c r="V41" s="81">
        <f t="shared" si="10"/>
        <v>1.2951902932225744E-2</v>
      </c>
    </row>
    <row r="42" spans="13:22" ht="13" customHeight="1" x14ac:dyDescent="0.15">
      <c r="M42" s="46">
        <f t="shared" si="4"/>
        <v>0.93333333333333235</v>
      </c>
      <c r="N42" s="80">
        <f t="shared" si="7"/>
        <v>0.25807782590323791</v>
      </c>
      <c r="O42" s="80">
        <f t="shared" si="8"/>
        <v>0.8246760551477702</v>
      </c>
      <c r="R42" s="46">
        <f t="shared" si="5"/>
        <v>-2.5798513694894205</v>
      </c>
      <c r="S42" s="81">
        <f t="shared" si="9"/>
        <v>1.4310595421162493E-2</v>
      </c>
      <c r="U42" s="46">
        <f t="shared" si="6"/>
        <v>2.5798513694894205</v>
      </c>
      <c r="V42" s="81">
        <f t="shared" si="10"/>
        <v>1.4310595421162493E-2</v>
      </c>
    </row>
    <row r="43" spans="13:22" ht="13" customHeight="1" x14ac:dyDescent="0.15">
      <c r="M43" s="46">
        <f t="shared" si="4"/>
        <v>1.0666666666666658</v>
      </c>
      <c r="N43" s="80">
        <f t="shared" si="7"/>
        <v>0.22586282746712472</v>
      </c>
      <c r="O43" s="80">
        <f t="shared" si="8"/>
        <v>0.85693880780449083</v>
      </c>
      <c r="P43">
        <v>1</v>
      </c>
      <c r="R43" s="46">
        <f t="shared" si="5"/>
        <v>-2.5414689740702157</v>
      </c>
      <c r="S43" s="81">
        <f t="shared" si="9"/>
        <v>1.5788541772875114E-2</v>
      </c>
      <c r="U43" s="46">
        <f t="shared" si="6"/>
        <v>2.5414689740702157</v>
      </c>
      <c r="V43" s="81">
        <f t="shared" si="10"/>
        <v>1.5788541772875114E-2</v>
      </c>
    </row>
    <row r="44" spans="13:22" ht="13" customHeight="1" x14ac:dyDescent="0.15">
      <c r="M44" s="46">
        <f t="shared" si="4"/>
        <v>1.1999999999999991</v>
      </c>
      <c r="N44" s="80">
        <f t="shared" si="7"/>
        <v>0.19418605498321317</v>
      </c>
      <c r="O44" s="80">
        <f t="shared" si="8"/>
        <v>0.88493032977829156</v>
      </c>
      <c r="R44" s="46">
        <f t="shared" si="5"/>
        <v>-2.5030865786510108</v>
      </c>
      <c r="S44" s="81">
        <f t="shared" si="9"/>
        <v>1.739348195348921E-2</v>
      </c>
      <c r="U44" s="46">
        <f t="shared" si="6"/>
        <v>2.5030865786510108</v>
      </c>
      <c r="V44" s="81">
        <f t="shared" si="10"/>
        <v>1.739348195348921E-2</v>
      </c>
    </row>
    <row r="45" spans="13:22" ht="13" customHeight="1" x14ac:dyDescent="0.15">
      <c r="M45" s="46">
        <f t="shared" si="4"/>
        <v>1.3333333333333324</v>
      </c>
      <c r="N45" s="80">
        <f t="shared" si="7"/>
        <v>0.16401007467599382</v>
      </c>
      <c r="O45" s="80">
        <f t="shared" si="8"/>
        <v>0.90878878027413201</v>
      </c>
      <c r="R45" s="46">
        <f t="shared" si="5"/>
        <v>-2.464704183231806</v>
      </c>
      <c r="S45" s="81">
        <f t="shared" si="9"/>
        <v>1.9133359655075646E-2</v>
      </c>
      <c r="U45" s="46">
        <f t="shared" si="6"/>
        <v>2.464704183231806</v>
      </c>
      <c r="V45" s="81">
        <f t="shared" si="10"/>
        <v>1.9133359655075646E-2</v>
      </c>
    </row>
    <row r="46" spans="13:22" ht="13" customHeight="1" x14ac:dyDescent="0.15">
      <c r="M46" s="46">
        <f t="shared" si="4"/>
        <v>1.4666666666666657</v>
      </c>
      <c r="N46" s="80">
        <f t="shared" si="7"/>
        <v>0.13608248241227827</v>
      </c>
      <c r="O46" s="80">
        <f t="shared" si="8"/>
        <v>0.92876662258601383</v>
      </c>
      <c r="R46" s="46">
        <f t="shared" si="5"/>
        <v>-2.4263217878126011</v>
      </c>
      <c r="S46" s="81">
        <f t="shared" si="9"/>
        <v>2.1016293897935485E-2</v>
      </c>
      <c r="U46" s="46">
        <f t="shared" si="6"/>
        <v>2.4263217878126011</v>
      </c>
      <c r="V46" s="81">
        <f t="shared" si="10"/>
        <v>2.1016293897935485E-2</v>
      </c>
    </row>
    <row r="47" spans="13:22" ht="13" customHeight="1" x14ac:dyDescent="0.15">
      <c r="M47" s="46">
        <f t="shared" si="4"/>
        <v>1.599999999999999</v>
      </c>
      <c r="N47" s="80">
        <f t="shared" si="7"/>
        <v>0.11092083467945574</v>
      </c>
      <c r="O47" s="80">
        <f t="shared" si="8"/>
        <v>0.94520070830044189</v>
      </c>
      <c r="R47" s="46">
        <f t="shared" si="5"/>
        <v>-2.3879393923933963</v>
      </c>
      <c r="S47" s="81">
        <f t="shared" si="9"/>
        <v>2.3050546417392567E-2</v>
      </c>
      <c r="U47" s="46">
        <f t="shared" si="6"/>
        <v>2.3879393923933963</v>
      </c>
      <c r="V47" s="81">
        <f t="shared" si="10"/>
        <v>2.3050546417392567E-2</v>
      </c>
    </row>
    <row r="48" spans="13:22" ht="13" customHeight="1" x14ac:dyDescent="0.15">
      <c r="M48" s="46">
        <f t="shared" si="4"/>
        <v>1.7333333333333323</v>
      </c>
      <c r="N48" s="80">
        <f t="shared" si="7"/>
        <v>8.8818461090592035E-2</v>
      </c>
      <c r="O48" s="80">
        <f t="shared" si="8"/>
        <v>0.95848178031122078</v>
      </c>
      <c r="R48" s="46">
        <f t="shared" si="5"/>
        <v>-2.3495569969741914</v>
      </c>
      <c r="S48" s="81">
        <f t="shared" si="9"/>
        <v>2.5244484715714367E-2</v>
      </c>
      <c r="U48" s="46">
        <f t="shared" si="6"/>
        <v>2.3495569969741914</v>
      </c>
      <c r="V48" s="81">
        <f t="shared" si="10"/>
        <v>2.5244484715714367E-2</v>
      </c>
    </row>
    <row r="49" spans="1:22" ht="13" customHeight="1" x14ac:dyDescent="0.15">
      <c r="M49" s="46">
        <f t="shared" si="4"/>
        <v>1.8666666666666656</v>
      </c>
      <c r="N49" s="80">
        <f t="shared" si="7"/>
        <v>6.9867076070915329E-2</v>
      </c>
      <c r="O49" s="80">
        <f t="shared" si="8"/>
        <v>0.96902592429325929</v>
      </c>
      <c r="R49" s="46">
        <f t="shared" si="5"/>
        <v>-2.3111746015549866</v>
      </c>
      <c r="S49" s="81">
        <f t="shared" si="9"/>
        <v>2.7606540694745035E-2</v>
      </c>
      <c r="U49" s="46">
        <f t="shared" si="6"/>
        <v>2.3111746015549866</v>
      </c>
      <c r="V49" s="81">
        <f t="shared" si="10"/>
        <v>2.7606540694745035E-2</v>
      </c>
    </row>
    <row r="50" spans="1:22" ht="13" customHeight="1" x14ac:dyDescent="0.15">
      <c r="M50" s="46">
        <f t="shared" si="4"/>
        <v>1.9999999999999989</v>
      </c>
      <c r="N50" s="80">
        <f t="shared" si="7"/>
        <v>5.3990966513188167E-2</v>
      </c>
      <c r="O50" s="80">
        <f t="shared" si="8"/>
        <v>0.97724986805182068</v>
      </c>
      <c r="P50">
        <v>2</v>
      </c>
      <c r="R50" s="46">
        <f t="shared" si="5"/>
        <v>-2.2727922061357817</v>
      </c>
      <c r="S50" s="81">
        <f t="shared" si="9"/>
        <v>3.0145164824276708E-2</v>
      </c>
      <c r="U50" s="46">
        <f t="shared" si="6"/>
        <v>2.2727922061357817</v>
      </c>
      <c r="V50" s="81">
        <f t="shared" si="10"/>
        <v>3.0145164824276708E-2</v>
      </c>
    </row>
    <row r="51" spans="1:22" ht="13" customHeight="1" x14ac:dyDescent="0.15">
      <c r="M51" s="46">
        <f t="shared" si="4"/>
        <v>2.1333333333333324</v>
      </c>
      <c r="N51" s="80">
        <f t="shared" si="7"/>
        <v>4.098725604522227E-2</v>
      </c>
      <c r="O51" s="80">
        <f t="shared" si="8"/>
        <v>0.98355130417725467</v>
      </c>
      <c r="R51" s="46">
        <f t="shared" si="5"/>
        <v>-2.2344098107165768</v>
      </c>
      <c r="S51" s="81">
        <f t="shared" si="9"/>
        <v>3.2868775844994327E-2</v>
      </c>
      <c r="U51" s="46">
        <f t="shared" si="6"/>
        <v>2.2344098107165768</v>
      </c>
      <c r="V51" s="81">
        <f t="shared" si="10"/>
        <v>3.2868775844994327E-2</v>
      </c>
    </row>
    <row r="52" spans="1:22" ht="13" customHeight="1" x14ac:dyDescent="0.15">
      <c r="M52" s="46">
        <f t="shared" si="4"/>
        <v>2.2666666666666657</v>
      </c>
      <c r="N52" s="80">
        <f t="shared" si="7"/>
        <v>3.0567209727885538E-2</v>
      </c>
      <c r="O52" s="80">
        <f t="shared" si="8"/>
        <v>0.98829470191944169</v>
      </c>
      <c r="R52" s="46">
        <f t="shared" si="5"/>
        <v>-2.196027415297372</v>
      </c>
      <c r="S52" s="81">
        <f t="shared" si="9"/>
        <v>3.578570605281909E-2</v>
      </c>
      <c r="U52" s="46">
        <f t="shared" si="6"/>
        <v>2.196027415297372</v>
      </c>
      <c r="V52" s="81">
        <f t="shared" si="10"/>
        <v>3.578570605281909E-2</v>
      </c>
    </row>
    <row r="53" spans="1:22" ht="13" customHeight="1" x14ac:dyDescent="0.15">
      <c r="M53" s="46">
        <f t="shared" si="4"/>
        <v>2.399999999999999</v>
      </c>
      <c r="N53" s="80">
        <f t="shared" si="7"/>
        <v>2.2394530294842948E-2</v>
      </c>
      <c r="O53" s="80">
        <f t="shared" si="8"/>
        <v>0.99180246407540384</v>
      </c>
      <c r="R53" s="46">
        <f t="shared" si="5"/>
        <v>-2.1576450198781671</v>
      </c>
      <c r="S53" s="81">
        <f t="shared" si="9"/>
        <v>3.8904142263374464E-2</v>
      </c>
      <c r="U53" s="46">
        <f t="shared" si="6"/>
        <v>2.1576450198781671</v>
      </c>
      <c r="V53" s="81">
        <f t="shared" si="10"/>
        <v>3.8904142263374464E-2</v>
      </c>
    </row>
    <row r="54" spans="1:22" ht="13" customHeight="1" x14ac:dyDescent="0.15">
      <c r="M54" s="46">
        <f t="shared" si="4"/>
        <v>2.5333333333333323</v>
      </c>
      <c r="N54" s="80">
        <f t="shared" si="7"/>
        <v>1.6117858113649026E-2</v>
      </c>
      <c r="O54" s="80">
        <f t="shared" si="8"/>
        <v>0.99435082724443935</v>
      </c>
      <c r="R54" s="46">
        <f t="shared" si="5"/>
        <v>-2.1192626244589623</v>
      </c>
      <c r="S54" s="81">
        <f t="shared" si="9"/>
        <v>4.2232062610751922E-2</v>
      </c>
      <c r="U54" s="46">
        <f t="shared" si="6"/>
        <v>2.1192626244589623</v>
      </c>
      <c r="V54" s="81">
        <f t="shared" si="10"/>
        <v>4.2232062610751922E-2</v>
      </c>
    </row>
    <row r="55" spans="1:22" ht="13" customHeight="1" x14ac:dyDescent="0.15">
      <c r="M55" s="46">
        <f t="shared" si="4"/>
        <v>2.6666666666666656</v>
      </c>
      <c r="N55" s="80">
        <f t="shared" si="7"/>
        <v>1.1395986023797473E-2</v>
      </c>
      <c r="O55" s="80">
        <f t="shared" si="8"/>
        <v>0.99616961943241022</v>
      </c>
      <c r="R55" s="46">
        <f t="shared" si="5"/>
        <v>-2.0808802290397574</v>
      </c>
      <c r="S55" s="81">
        <f t="shared" si="9"/>
        <v>4.5777169393317281E-2</v>
      </c>
      <c r="U55" s="46">
        <f t="shared" si="6"/>
        <v>2.0808802290397574</v>
      </c>
      <c r="V55" s="81">
        <f t="shared" si="10"/>
        <v>4.5777169393317281E-2</v>
      </c>
    </row>
    <row r="56" spans="1:22" ht="13" customHeight="1" x14ac:dyDescent="0.15">
      <c r="M56" s="46">
        <f t="shared" si="4"/>
        <v>2.7999999999999989</v>
      </c>
      <c r="N56" s="80">
        <f t="shared" si="7"/>
        <v>7.9154515829799894E-3</v>
      </c>
      <c r="O56" s="80">
        <f t="shared" si="8"/>
        <v>0.99744486966957202</v>
      </c>
      <c r="R56" s="46">
        <f t="shared" si="5"/>
        <v>-2.0424978336205526</v>
      </c>
      <c r="S56" s="81">
        <f t="shared" si="9"/>
        <v>4.9546818240443706E-2</v>
      </c>
      <c r="U56" s="46">
        <f t="shared" si="6"/>
        <v>2.0424978336205526</v>
      </c>
      <c r="V56" s="81">
        <f t="shared" si="10"/>
        <v>4.9546818240443706E-2</v>
      </c>
    </row>
    <row r="57" spans="1:22" ht="13" customHeight="1" x14ac:dyDescent="0.15">
      <c r="M57" s="46">
        <f t="shared" si="4"/>
        <v>2.9333333333333322</v>
      </c>
      <c r="N57" s="80">
        <f t="shared" si="7"/>
        <v>5.401056181194395E-3</v>
      </c>
      <c r="O57" s="80">
        <f t="shared" si="8"/>
        <v>0.99832328177252683</v>
      </c>
      <c r="R57" s="46">
        <f t="shared" si="5"/>
        <v>-2.0041154382013477</v>
      </c>
      <c r="S57" s="81">
        <f t="shared" si="9"/>
        <v>5.3547943937164839E-2</v>
      </c>
      <c r="U57" s="46">
        <f t="shared" si="6"/>
        <v>2.0041154382013477</v>
      </c>
      <c r="V57" s="81">
        <f t="shared" si="10"/>
        <v>5.3547943937164839E-2</v>
      </c>
    </row>
    <row r="58" spans="1:22" ht="13" customHeight="1" x14ac:dyDescent="0.15">
      <c r="M58" s="46">
        <f t="shared" si="4"/>
        <v>3.0666666666666655</v>
      </c>
      <c r="N58" s="80">
        <f t="shared" si="7"/>
        <v>3.6204362280192995E-3</v>
      </c>
      <c r="O58" s="80">
        <f t="shared" si="8"/>
        <v>0.99891769951860676</v>
      </c>
      <c r="P58">
        <v>3</v>
      </c>
      <c r="R58" s="46">
        <f t="shared" si="5"/>
        <v>-1.9657330427821429</v>
      </c>
      <c r="S58" s="81">
        <f t="shared" si="9"/>
        <v>5.7786983308112147E-2</v>
      </c>
      <c r="U58" s="46">
        <f t="shared" si="6"/>
        <v>1.9657330427821429</v>
      </c>
      <c r="V58" s="81">
        <f t="shared" si="10"/>
        <v>5.7786983308112147E-2</v>
      </c>
    </row>
    <row r="59" spans="1:22" ht="13" customHeight="1" x14ac:dyDescent="0.2">
      <c r="A59" s="1" t="s">
        <v>84</v>
      </c>
      <c r="M59" s="46">
        <f t="shared" si="4"/>
        <v>3.1999999999999988</v>
      </c>
      <c r="N59" s="80">
        <f t="shared" si="7"/>
        <v>2.3840882014648512E-3</v>
      </c>
      <c r="O59" s="80">
        <f t="shared" si="8"/>
        <v>0.99931286206208414</v>
      </c>
      <c r="R59" s="46">
        <f t="shared" si="5"/>
        <v>-1.927350647362938</v>
      </c>
      <c r="S59" s="81">
        <f t="shared" si="9"/>
        <v>6.2269795626953332E-2</v>
      </c>
      <c r="U59" s="46">
        <f t="shared" si="6"/>
        <v>1.927350647362938</v>
      </c>
      <c r="V59" s="81">
        <f t="shared" si="10"/>
        <v>6.2269795626953332E-2</v>
      </c>
    </row>
    <row r="60" spans="1:22" ht="13" customHeight="1" x14ac:dyDescent="0.15">
      <c r="A60" s="77" t="s">
        <v>66</v>
      </c>
      <c r="B60" s="63">
        <v>0.5</v>
      </c>
      <c r="M60" s="46">
        <f t="shared" si="4"/>
        <v>3.3333333333333321</v>
      </c>
      <c r="N60" s="80">
        <f t="shared" si="7"/>
        <v>1.5422789962911121E-3</v>
      </c>
      <c r="O60" s="80">
        <f t="shared" si="8"/>
        <v>0.99957093966680322</v>
      </c>
      <c r="R60" s="46">
        <f t="shared" si="5"/>
        <v>-1.8889682519437332</v>
      </c>
      <c r="S60" s="81">
        <f t="shared" si="9"/>
        <v>6.7001581082029804E-2</v>
      </c>
      <c r="U60" s="46">
        <f t="shared" si="6"/>
        <v>1.8889682519437332</v>
      </c>
      <c r="V60" s="81">
        <f t="shared" si="10"/>
        <v>6.7001581082029804E-2</v>
      </c>
    </row>
    <row r="61" spans="1:22" ht="13" customHeight="1" x14ac:dyDescent="0.15">
      <c r="A61" s="77" t="s">
        <v>98</v>
      </c>
      <c r="B61" s="63">
        <v>0.05</v>
      </c>
      <c r="M61" s="46">
        <f t="shared" si="4"/>
        <v>3.4666666666666655</v>
      </c>
      <c r="N61" s="80">
        <f t="shared" si="7"/>
        <v>9.8012796127537626E-4</v>
      </c>
      <c r="O61" s="80">
        <f t="shared" si="8"/>
        <v>0.9997365225344047</v>
      </c>
      <c r="R61" s="46">
        <f t="shared" si="5"/>
        <v>-1.8505858565245283</v>
      </c>
      <c r="S61" s="81">
        <f t="shared" si="9"/>
        <v>7.1986797892085508E-2</v>
      </c>
      <c r="U61" s="46">
        <f t="shared" si="6"/>
        <v>1.8505858565245283</v>
      </c>
      <c r="V61" s="81">
        <f t="shared" si="10"/>
        <v>7.1986797892085508E-2</v>
      </c>
    </row>
    <row r="62" spans="1:22" ht="13" customHeight="1" x14ac:dyDescent="0.15">
      <c r="A62" s="77" t="s">
        <v>71</v>
      </c>
      <c r="B62" s="63">
        <v>100</v>
      </c>
      <c r="M62" s="46">
        <f t="shared" si="4"/>
        <v>3.5999999999999988</v>
      </c>
      <c r="N62" s="80">
        <f t="shared" si="7"/>
        <v>6.1190193011377515E-4</v>
      </c>
      <c r="O62" s="80">
        <f t="shared" si="8"/>
        <v>0.99984089140984245</v>
      </c>
      <c r="R62" s="46">
        <f t="shared" si="5"/>
        <v>-1.8122034611053235</v>
      </c>
      <c r="S62" s="81">
        <f t="shared" si="9"/>
        <v>7.7229078726912356E-2</v>
      </c>
      <c r="U62" s="46">
        <f t="shared" si="6"/>
        <v>1.8122034611053235</v>
      </c>
      <c r="V62" s="81">
        <f t="shared" si="10"/>
        <v>7.7229078726912356E-2</v>
      </c>
    </row>
    <row r="63" spans="1:22" ht="13" customHeight="1" x14ac:dyDescent="0.15">
      <c r="A63" s="77" t="s">
        <v>59</v>
      </c>
      <c r="B63" s="63">
        <v>0.56000000000000005</v>
      </c>
      <c r="M63" s="46">
        <f t="shared" si="4"/>
        <v>3.7333333333333321</v>
      </c>
      <c r="N63" s="80">
        <f t="shared" si="7"/>
        <v>3.7528402371763201E-4</v>
      </c>
      <c r="O63" s="80">
        <f t="shared" si="8"/>
        <v>0.99990551887519563</v>
      </c>
      <c r="R63" s="46">
        <f t="shared" si="5"/>
        <v>-1.7738210656861186</v>
      </c>
      <c r="S63" s="81">
        <f t="shared" si="9"/>
        <v>8.2731147145397199E-2</v>
      </c>
      <c r="U63" s="46">
        <f t="shared" si="6"/>
        <v>1.7738210656861186</v>
      </c>
      <c r="V63" s="81">
        <f t="shared" si="10"/>
        <v>8.2731147145397199E-2</v>
      </c>
    </row>
    <row r="64" spans="1:22" ht="13" customHeight="1" x14ac:dyDescent="0.15">
      <c r="A64" s="77" t="s">
        <v>1</v>
      </c>
      <c r="B64" s="65">
        <f>B63*(1-B63)</f>
        <v>0.24639999999999998</v>
      </c>
      <c r="M64" s="46">
        <f t="shared" si="4"/>
        <v>3.8666666666666654</v>
      </c>
      <c r="N64" s="80">
        <f t="shared" si="7"/>
        <v>2.2610883840368568E-4</v>
      </c>
      <c r="O64" s="80">
        <f t="shared" si="8"/>
        <v>0.99994483346497276</v>
      </c>
      <c r="R64" s="46">
        <f t="shared" si="5"/>
        <v>-1.7354386702669138</v>
      </c>
      <c r="S64" s="81">
        <f t="shared" si="9"/>
        <v>8.8494734816798065E-2</v>
      </c>
      <c r="U64" s="46">
        <f t="shared" si="6"/>
        <v>1.7354386702669138</v>
      </c>
      <c r="V64" s="81">
        <f t="shared" si="10"/>
        <v>8.8494734816798065E-2</v>
      </c>
    </row>
    <row r="65" spans="1:22" ht="13" customHeight="1" x14ac:dyDescent="0.15">
      <c r="A65" s="77" t="s">
        <v>67</v>
      </c>
      <c r="B65" s="65">
        <f>SQRT(B64)</f>
        <v>0.49638694583963422</v>
      </c>
      <c r="M65" s="46">
        <f t="shared" si="4"/>
        <v>3.9999999999999987</v>
      </c>
      <c r="N65" s="80">
        <f t="shared" si="7"/>
        <v>1.3383022576488607E-4</v>
      </c>
      <c r="O65" s="80">
        <f t="shared" si="8"/>
        <v>0.99996832875816688</v>
      </c>
      <c r="P65">
        <v>4</v>
      </c>
      <c r="R65" s="46">
        <f t="shared" si="5"/>
        <v>-1.6970562748477089</v>
      </c>
      <c r="S65" s="81">
        <f t="shared" si="9"/>
        <v>9.4520500339046826E-2</v>
      </c>
      <c r="U65" s="46">
        <f t="shared" si="6"/>
        <v>1.6970562748477089</v>
      </c>
      <c r="V65" s="81">
        <f t="shared" si="10"/>
        <v>9.4520500339046826E-2</v>
      </c>
    </row>
    <row r="66" spans="1:22" ht="13" customHeight="1" x14ac:dyDescent="0.15">
      <c r="A66" s="77" t="s">
        <v>95</v>
      </c>
      <c r="B66" s="65">
        <f>((B60*(1-B60)/B62)^0.5)</f>
        <v>0.05</v>
      </c>
    </row>
    <row r="67" spans="1:22" ht="13" customHeight="1" x14ac:dyDescent="0.15">
      <c r="A67" s="77"/>
    </row>
    <row r="68" spans="1:22" ht="13" customHeight="1" x14ac:dyDescent="0.15">
      <c r="A68" s="77" t="s">
        <v>60</v>
      </c>
      <c r="B68" s="64">
        <f>(B63-B60)/B66</f>
        <v>1.2000000000000011</v>
      </c>
    </row>
    <row r="69" spans="1:22" ht="13" customHeight="1" x14ac:dyDescent="0.15">
      <c r="A69" s="77" t="s">
        <v>99</v>
      </c>
      <c r="M69" s="78" t="s">
        <v>15</v>
      </c>
      <c r="O69" s="78" t="s">
        <v>103</v>
      </c>
    </row>
    <row r="70" spans="1:22" ht="13" customHeight="1" x14ac:dyDescent="0.15">
      <c r="A70" s="77" t="s">
        <v>96</v>
      </c>
      <c r="B70" s="65">
        <f>1-_xlfn.NORM.S.DIST(ABS(B68),TRUE)</f>
        <v>0.115069670221708</v>
      </c>
      <c r="M70" t="e">
        <f>zmin</f>
        <v>#REF!</v>
      </c>
    </row>
    <row r="71" spans="1:22" ht="13" customHeight="1" x14ac:dyDescent="0.15">
      <c r="A71" s="77" t="s">
        <v>97</v>
      </c>
      <c r="B71" s="65">
        <f>2*B70</f>
        <v>0.230139340443416</v>
      </c>
    </row>
    <row r="72" spans="1:22" ht="13" customHeight="1" x14ac:dyDescent="0.15"/>
    <row r="73" spans="1:22" ht="13" customHeight="1" x14ac:dyDescent="0.15"/>
    <row r="74" spans="1:22" ht="13" customHeight="1" x14ac:dyDescent="0.15"/>
    <row r="75" spans="1:22" ht="13" customHeight="1" x14ac:dyDescent="0.15"/>
    <row r="76" spans="1:22" ht="13" customHeight="1" x14ac:dyDescent="0.15"/>
    <row r="77" spans="1:22" ht="13" customHeight="1" x14ac:dyDescent="0.15"/>
    <row r="78" spans="1:22" ht="13" customHeight="1" x14ac:dyDescent="0.15"/>
    <row r="79" spans="1:22" ht="13" customHeight="1" x14ac:dyDescent="0.15"/>
    <row r="80" spans="1:22" ht="13" customHeight="1" x14ac:dyDescent="0.15"/>
    <row r="81" ht="13" customHeight="1" x14ac:dyDescent="0.15"/>
    <row r="82" ht="13" customHeight="1" x14ac:dyDescent="0.15"/>
    <row r="83" ht="13" customHeight="1" x14ac:dyDescent="0.15"/>
    <row r="84" ht="13" customHeight="1" x14ac:dyDescent="0.15"/>
    <row r="85" ht="13" customHeight="1" x14ac:dyDescent="0.15"/>
    <row r="86" ht="13" customHeight="1" x14ac:dyDescent="0.15"/>
    <row r="87" ht="13" customHeight="1" x14ac:dyDescent="0.15"/>
    <row r="88" ht="13" customHeight="1" x14ac:dyDescent="0.15"/>
    <row r="89" ht="13" customHeight="1" x14ac:dyDescent="0.15"/>
    <row r="90" ht="13" customHeight="1" x14ac:dyDescent="0.15"/>
    <row r="91" ht="13" customHeight="1" x14ac:dyDescent="0.15"/>
    <row r="92" ht="13" customHeight="1" x14ac:dyDescent="0.15"/>
    <row r="93" ht="13" customHeight="1" x14ac:dyDescent="0.15"/>
    <row r="94" ht="13" customHeight="1" x14ac:dyDescent="0.15"/>
    <row r="95" ht="13" customHeight="1" x14ac:dyDescent="0.15"/>
    <row r="96" ht="13" customHeight="1" x14ac:dyDescent="0.15"/>
    <row r="97" ht="13" customHeight="1" x14ac:dyDescent="0.15"/>
    <row r="98" ht="13" customHeight="1" x14ac:dyDescent="0.15"/>
    <row r="99" ht="13" customHeight="1" x14ac:dyDescent="0.15"/>
    <row r="100" ht="13" customHeight="1" x14ac:dyDescent="0.15"/>
    <row r="101" ht="13" customHeight="1" x14ac:dyDescent="0.15"/>
    <row r="102" ht="13" customHeight="1" x14ac:dyDescent="0.15"/>
    <row r="103" ht="13" customHeight="1" x14ac:dyDescent="0.15"/>
    <row r="104" ht="13" customHeight="1" x14ac:dyDescent="0.15"/>
    <row r="105" ht="13" customHeight="1" x14ac:dyDescent="0.15"/>
    <row r="106" ht="13" customHeight="1" x14ac:dyDescent="0.15"/>
    <row r="107" ht="13" customHeight="1" x14ac:dyDescent="0.15"/>
    <row r="108" ht="13" customHeight="1" x14ac:dyDescent="0.15"/>
    <row r="109" ht="13" customHeight="1" x14ac:dyDescent="0.15"/>
    <row r="110" ht="13" customHeight="1" x14ac:dyDescent="0.15"/>
    <row r="111" ht="13" customHeight="1" x14ac:dyDescent="0.15"/>
    <row r="112" ht="13" customHeight="1" x14ac:dyDescent="0.15"/>
    <row r="113" ht="13" customHeight="1" x14ac:dyDescent="0.15"/>
    <row r="114" ht="13" customHeight="1" x14ac:dyDescent="0.15"/>
    <row r="115" ht="13" customHeight="1" x14ac:dyDescent="0.15"/>
    <row r="116" ht="13" customHeight="1" x14ac:dyDescent="0.15"/>
    <row r="117" ht="13" customHeight="1" x14ac:dyDescent="0.15"/>
    <row r="118" ht="13" customHeight="1" x14ac:dyDescent="0.15"/>
    <row r="119" ht="13" customHeight="1" x14ac:dyDescent="0.15"/>
    <row r="120" ht="13" customHeight="1" x14ac:dyDescent="0.15"/>
    <row r="121" ht="13" customHeight="1" x14ac:dyDescent="0.15"/>
    <row r="122" ht="13" customHeight="1" x14ac:dyDescent="0.15"/>
    <row r="123" ht="13" customHeight="1" x14ac:dyDescent="0.15"/>
    <row r="124" ht="13" customHeight="1" x14ac:dyDescent="0.15"/>
    <row r="125" ht="13" customHeight="1" x14ac:dyDescent="0.15"/>
    <row r="126" ht="13" customHeight="1" x14ac:dyDescent="0.15"/>
    <row r="127" ht="13" customHeight="1" x14ac:dyDescent="0.15"/>
    <row r="128" ht="13" customHeight="1" x14ac:dyDescent="0.15"/>
    <row r="129" spans="13:15" ht="13" customHeight="1" x14ac:dyDescent="0.15"/>
    <row r="130" spans="13:15" ht="13" customHeight="1" x14ac:dyDescent="0.15"/>
    <row r="131" spans="13:15" ht="13" customHeight="1" x14ac:dyDescent="0.15"/>
    <row r="132" spans="13:15" ht="13" customHeight="1" x14ac:dyDescent="0.15"/>
    <row r="133" spans="13:15" ht="13" customHeight="1" x14ac:dyDescent="0.15">
      <c r="M133" s="78" t="s">
        <v>15</v>
      </c>
      <c r="N133" s="78" t="s">
        <v>102</v>
      </c>
      <c r="O133" s="78" t="s">
        <v>103</v>
      </c>
    </row>
    <row r="134" spans="13:15" ht="13" customHeight="1" x14ac:dyDescent="0.15">
      <c r="M134" t="e">
        <f>zmax</f>
        <v>#REF!</v>
      </c>
      <c r="N134" s="82" t="e">
        <f>_xlfn.NORM.DIST(#REF!,Mean,StdDev,FALSE)</f>
        <v>#REF!</v>
      </c>
    </row>
    <row r="135" spans="13:15" ht="13" customHeight="1" x14ac:dyDescent="0.15">
      <c r="N135" s="82" t="e">
        <f>_xlfn.NORM.DIST(#REF!,Mean,StdDev,FALSE)</f>
        <v>#REF!</v>
      </c>
    </row>
    <row r="136" spans="13:15" ht="13" customHeight="1" x14ac:dyDescent="0.15">
      <c r="N136" s="82" t="e">
        <f>_xlfn.NORM.DIST(#REF!,Mean,StdDev,FALSE)</f>
        <v>#REF!</v>
      </c>
    </row>
    <row r="137" spans="13:15" ht="13" customHeight="1" x14ac:dyDescent="0.15">
      <c r="N137" s="82" t="e">
        <f>_xlfn.NORM.DIST(#REF!,Mean,StdDev,FALSE)</f>
        <v>#REF!</v>
      </c>
    </row>
    <row r="138" spans="13:15" ht="13" customHeight="1" x14ac:dyDescent="0.15">
      <c r="N138" s="82" t="e">
        <f>_xlfn.NORM.DIST(#REF!,Mean,StdDev,FALSE)</f>
        <v>#REF!</v>
      </c>
    </row>
    <row r="139" spans="13:15" ht="13" customHeight="1" x14ac:dyDescent="0.15">
      <c r="N139" s="82" t="e">
        <f>_xlfn.NORM.DIST(#REF!,Mean,StdDev,FALSE)</f>
        <v>#REF!</v>
      </c>
    </row>
    <row r="140" spans="13:15" ht="13" customHeight="1" x14ac:dyDescent="0.15">
      <c r="N140" s="82" t="e">
        <f>_xlfn.NORM.DIST(#REF!,Mean,StdDev,FALSE)</f>
        <v>#REF!</v>
      </c>
    </row>
    <row r="141" spans="13:15" ht="13" customHeight="1" x14ac:dyDescent="0.15">
      <c r="N141" s="82" t="e">
        <f>_xlfn.NORM.DIST(#REF!,Mean,StdDev,FALSE)</f>
        <v>#REF!</v>
      </c>
    </row>
    <row r="142" spans="13:15" ht="13" customHeight="1" x14ac:dyDescent="0.15">
      <c r="N142" s="82" t="e">
        <f>_xlfn.NORM.DIST(#REF!,Mean,StdDev,FALSE)</f>
        <v>#REF!</v>
      </c>
    </row>
    <row r="143" spans="13:15" ht="13" customHeight="1" x14ac:dyDescent="0.15">
      <c r="N143" s="82" t="e">
        <f>_xlfn.NORM.DIST(#REF!,Mean,StdDev,FALSE)</f>
        <v>#REF!</v>
      </c>
    </row>
    <row r="144" spans="13:15" ht="13" customHeight="1" x14ac:dyDescent="0.15">
      <c r="N144" s="82" t="e">
        <f>_xlfn.NORM.DIST(#REF!,Mean,StdDev,FALSE)</f>
        <v>#REF!</v>
      </c>
    </row>
    <row r="145" spans="14:14" ht="13" customHeight="1" x14ac:dyDescent="0.15">
      <c r="N145" s="82" t="e">
        <f>_xlfn.NORM.DIST(#REF!,Mean,StdDev,FALSE)</f>
        <v>#REF!</v>
      </c>
    </row>
    <row r="146" spans="14:14" ht="13" customHeight="1" x14ac:dyDescent="0.15">
      <c r="N146" s="82" t="e">
        <f>_xlfn.NORM.DIST(#REF!,Mean,StdDev,FALSE)</f>
        <v>#REF!</v>
      </c>
    </row>
    <row r="147" spans="14:14" ht="13" customHeight="1" x14ac:dyDescent="0.15">
      <c r="N147" s="82" t="e">
        <f>_xlfn.NORM.DIST(#REF!,Mean,StdDev,FALSE)</f>
        <v>#REF!</v>
      </c>
    </row>
    <row r="148" spans="14:14" ht="13" customHeight="1" x14ac:dyDescent="0.15">
      <c r="N148" s="82" t="e">
        <f>_xlfn.NORM.DIST(#REF!,Mean,StdDev,FALSE)</f>
        <v>#REF!</v>
      </c>
    </row>
    <row r="149" spans="14:14" ht="13" customHeight="1" x14ac:dyDescent="0.15">
      <c r="N149" s="82" t="e">
        <f>_xlfn.NORM.DIST(#REF!,Mean,StdDev,FALSE)</f>
        <v>#REF!</v>
      </c>
    </row>
    <row r="150" spans="14:14" ht="13" customHeight="1" x14ac:dyDescent="0.15">
      <c r="N150" s="82" t="e">
        <f>_xlfn.NORM.DIST(#REF!,Mean,StdDev,FALSE)</f>
        <v>#REF!</v>
      </c>
    </row>
    <row r="151" spans="14:14" ht="13" customHeight="1" x14ac:dyDescent="0.15">
      <c r="N151" s="82" t="e">
        <f>_xlfn.NORM.DIST(#REF!,Mean,StdDev,FALSE)</f>
        <v>#REF!</v>
      </c>
    </row>
    <row r="152" spans="14:14" ht="13" customHeight="1" x14ac:dyDescent="0.15">
      <c r="N152" s="82" t="e">
        <f>_xlfn.NORM.DIST(#REF!,Mean,StdDev,FALSE)</f>
        <v>#REF!</v>
      </c>
    </row>
    <row r="153" spans="14:14" ht="13" customHeight="1" x14ac:dyDescent="0.15">
      <c r="N153" s="82" t="e">
        <f>_xlfn.NORM.DIST(#REF!,Mean,StdDev,FALSE)</f>
        <v>#REF!</v>
      </c>
    </row>
    <row r="154" spans="14:14" ht="13" customHeight="1" x14ac:dyDescent="0.15">
      <c r="N154" s="82" t="e">
        <f>_xlfn.NORM.DIST(#REF!,Mean,StdDev,FALSE)</f>
        <v>#REF!</v>
      </c>
    </row>
    <row r="155" spans="14:14" ht="13" customHeight="1" x14ac:dyDescent="0.15">
      <c r="N155" s="82" t="e">
        <f>_xlfn.NORM.DIST(#REF!,Mean,StdDev,FALSE)</f>
        <v>#REF!</v>
      </c>
    </row>
    <row r="156" spans="14:14" ht="13" customHeight="1" x14ac:dyDescent="0.15">
      <c r="N156" s="82" t="e">
        <f>_xlfn.NORM.DIST(#REF!,Mean,StdDev,FALSE)</f>
        <v>#REF!</v>
      </c>
    </row>
    <row r="157" spans="14:14" ht="13" customHeight="1" x14ac:dyDescent="0.15">
      <c r="N157" s="82" t="e">
        <f>_xlfn.NORM.DIST(#REF!,Mean,StdDev,FALSE)</f>
        <v>#REF!</v>
      </c>
    </row>
    <row r="158" spans="14:14" ht="13" customHeight="1" x14ac:dyDescent="0.15">
      <c r="N158" s="82" t="e">
        <f>_xlfn.NORM.DIST(#REF!,Mean,StdDev,FALSE)</f>
        <v>#REF!</v>
      </c>
    </row>
    <row r="159" spans="14:14" ht="13" customHeight="1" x14ac:dyDescent="0.15">
      <c r="N159" s="82" t="e">
        <f>_xlfn.NORM.DIST(#REF!,Mean,StdDev,FALSE)</f>
        <v>#REF!</v>
      </c>
    </row>
    <row r="160" spans="14:14" ht="13" customHeight="1" x14ac:dyDescent="0.15">
      <c r="N160" s="82" t="e">
        <f>_xlfn.NORM.DIST(#REF!,Mean,StdDev,FALSE)</f>
        <v>#REF!</v>
      </c>
    </row>
    <row r="161" spans="14:14" ht="13" customHeight="1" x14ac:dyDescent="0.15">
      <c r="N161" s="82" t="e">
        <f>_xlfn.NORM.DIST(#REF!,Mean,StdDev,FALSE)</f>
        <v>#REF!</v>
      </c>
    </row>
    <row r="162" spans="14:14" ht="13" customHeight="1" x14ac:dyDescent="0.15">
      <c r="N162" s="82" t="e">
        <f>_xlfn.NORM.DIST(#REF!,Mean,StdDev,FALSE)</f>
        <v>#REF!</v>
      </c>
    </row>
    <row r="163" spans="14:14" ht="13" customHeight="1" x14ac:dyDescent="0.15">
      <c r="N163" s="82" t="e">
        <f>_xlfn.NORM.DIST(#REF!,Mean,StdDev,FALSE)</f>
        <v>#REF!</v>
      </c>
    </row>
    <row r="164" spans="14:14" ht="13" customHeight="1" x14ac:dyDescent="0.15">
      <c r="N164" s="82" t="e">
        <f>_xlfn.NORM.DIST(#REF!,Mean,StdDev,FALSE)</f>
        <v>#REF!</v>
      </c>
    </row>
    <row r="165" spans="14:14" ht="13" customHeight="1" x14ac:dyDescent="0.15">
      <c r="N165" s="82" t="e">
        <f>_xlfn.NORM.DIST(#REF!,Mean,StdDev,FALSE)</f>
        <v>#REF!</v>
      </c>
    </row>
    <row r="166" spans="14:14" ht="13" customHeight="1" x14ac:dyDescent="0.15">
      <c r="N166" s="82" t="e">
        <f>_xlfn.NORM.DIST(#REF!,Mean,StdDev,FALSE)</f>
        <v>#REF!</v>
      </c>
    </row>
    <row r="167" spans="14:14" ht="13" customHeight="1" x14ac:dyDescent="0.15">
      <c r="N167" s="82" t="e">
        <f>_xlfn.NORM.DIST(#REF!,Mean,StdDev,FALSE)</f>
        <v>#REF!</v>
      </c>
    </row>
    <row r="168" spans="14:14" ht="13" customHeight="1" x14ac:dyDescent="0.15">
      <c r="N168" s="82" t="e">
        <f>_xlfn.NORM.DIST(#REF!,Mean,StdDev,FALSE)</f>
        <v>#REF!</v>
      </c>
    </row>
    <row r="169" spans="14:14" ht="13" customHeight="1" x14ac:dyDescent="0.15">
      <c r="N169" s="82" t="e">
        <f>_xlfn.NORM.DIST(#REF!,Mean,StdDev,FALSE)</f>
        <v>#REF!</v>
      </c>
    </row>
    <row r="170" spans="14:14" ht="13" customHeight="1" x14ac:dyDescent="0.15">
      <c r="N170" s="82" t="e">
        <f>_xlfn.NORM.DIST(#REF!,Mean,StdDev,FALSE)</f>
        <v>#REF!</v>
      </c>
    </row>
    <row r="171" spans="14:14" ht="13" customHeight="1" x14ac:dyDescent="0.15">
      <c r="N171" s="82" t="e">
        <f>_xlfn.NORM.DIST(#REF!,Mean,StdDev,FALSE)</f>
        <v>#REF!</v>
      </c>
    </row>
    <row r="172" spans="14:14" ht="13" customHeight="1" x14ac:dyDescent="0.15">
      <c r="N172" s="82" t="e">
        <f>_xlfn.NORM.DIST(#REF!,Mean,StdDev,FALSE)</f>
        <v>#REF!</v>
      </c>
    </row>
    <row r="173" spans="14:14" ht="13" customHeight="1" x14ac:dyDescent="0.15">
      <c r="N173" s="82" t="e">
        <f>_xlfn.NORM.DIST(#REF!,Mean,StdDev,FALSE)</f>
        <v>#REF!</v>
      </c>
    </row>
    <row r="174" spans="14:14" ht="13" customHeight="1" x14ac:dyDescent="0.15">
      <c r="N174" s="82" t="e">
        <f>_xlfn.NORM.DIST(#REF!,Mean,StdDev,FALSE)</f>
        <v>#REF!</v>
      </c>
    </row>
    <row r="175" spans="14:14" ht="13" customHeight="1" x14ac:dyDescent="0.15">
      <c r="N175" s="82" t="e">
        <f>_xlfn.NORM.DIST(#REF!,Mean,StdDev,FALSE)</f>
        <v>#REF!</v>
      </c>
    </row>
    <row r="176" spans="14:14" ht="13" customHeight="1" x14ac:dyDescent="0.15">
      <c r="N176" s="82" t="e">
        <f>_xlfn.NORM.DIST(#REF!,Mean,StdDev,FALSE)</f>
        <v>#REF!</v>
      </c>
    </row>
    <row r="177" spans="14:14" ht="13" customHeight="1" x14ac:dyDescent="0.15">
      <c r="N177" s="82" t="e">
        <f>_xlfn.NORM.DIST(#REF!,Mean,StdDev,FALSE)</f>
        <v>#REF!</v>
      </c>
    </row>
    <row r="178" spans="14:14" ht="13" customHeight="1" x14ac:dyDescent="0.15">
      <c r="N178" s="82" t="e">
        <f>_xlfn.NORM.DIST(#REF!,Mean,StdDev,FALSE)</f>
        <v>#REF!</v>
      </c>
    </row>
    <row r="179" spans="14:14" ht="13" customHeight="1" x14ac:dyDescent="0.15">
      <c r="N179" s="82" t="e">
        <f>_xlfn.NORM.DIST(#REF!,Mean,StdDev,FALSE)</f>
        <v>#REF!</v>
      </c>
    </row>
    <row r="180" spans="14:14" ht="13" customHeight="1" x14ac:dyDescent="0.15">
      <c r="N180" s="82" t="e">
        <f>_xlfn.NORM.DIST(#REF!,Mean,StdDev,FALSE)</f>
        <v>#REF!</v>
      </c>
    </row>
    <row r="181" spans="14:14" ht="13" customHeight="1" x14ac:dyDescent="0.15">
      <c r="N181" s="82" t="e">
        <f>_xlfn.NORM.DIST(#REF!,Mean,StdDev,FALSE)</f>
        <v>#REF!</v>
      </c>
    </row>
    <row r="182" spans="14:14" ht="13" customHeight="1" x14ac:dyDescent="0.15">
      <c r="N182" s="82" t="e">
        <f>_xlfn.NORM.DIST(#REF!,Mean,StdDev,FALSE)</f>
        <v>#REF!</v>
      </c>
    </row>
    <row r="183" spans="14:14" ht="13" customHeight="1" x14ac:dyDescent="0.15">
      <c r="N183" s="82" t="e">
        <f>_xlfn.NORM.DIST(#REF!,Mean,StdDev,FALSE)</f>
        <v>#REF!</v>
      </c>
    </row>
    <row r="184" spans="14:14" ht="13" customHeight="1" x14ac:dyDescent="0.15">
      <c r="N184" s="82" t="e">
        <f>_xlfn.NORM.DIST(#REF!,Mean,StdDev,FALSE)</f>
        <v>#REF!</v>
      </c>
    </row>
    <row r="185" spans="14:14" ht="13" customHeight="1" x14ac:dyDescent="0.15">
      <c r="N185" s="82" t="e">
        <f>_xlfn.NORM.DIST(#REF!,Mean,StdDev,FALSE)</f>
        <v>#REF!</v>
      </c>
    </row>
    <row r="186" spans="14:14" ht="13" customHeight="1" x14ac:dyDescent="0.15">
      <c r="N186" s="82" t="e">
        <f>_xlfn.NORM.DIST(#REF!,Mean,StdDev,FALSE)</f>
        <v>#REF!</v>
      </c>
    </row>
    <row r="187" spans="14:14" ht="13" customHeight="1" x14ac:dyDescent="0.15">
      <c r="N187" s="82" t="e">
        <f>_xlfn.NORM.DIST(#REF!,Mean,StdDev,FALSE)</f>
        <v>#REF!</v>
      </c>
    </row>
    <row r="188" spans="14:14" ht="13" customHeight="1" x14ac:dyDescent="0.15">
      <c r="N188" s="82" t="e">
        <f>_xlfn.NORM.DIST(#REF!,Mean,StdDev,FALSE)</f>
        <v>#REF!</v>
      </c>
    </row>
    <row r="189" spans="14:14" ht="13" customHeight="1" x14ac:dyDescent="0.15">
      <c r="N189" s="82" t="e">
        <f>_xlfn.NORM.DIST(#REF!,Mean,StdDev,FALSE)</f>
        <v>#REF!</v>
      </c>
    </row>
    <row r="190" spans="14:14" ht="13" customHeight="1" x14ac:dyDescent="0.15">
      <c r="N190" s="82" t="e">
        <f>_xlfn.NORM.DIST(#REF!,Mean,StdDev,FALSE)</f>
        <v>#REF!</v>
      </c>
    </row>
    <row r="191" spans="14:14" ht="13" customHeight="1" x14ac:dyDescent="0.15">
      <c r="N191" s="82" t="e">
        <f>_xlfn.NORM.DIST(#REF!,Mean,StdDev,FALSE)</f>
        <v>#REF!</v>
      </c>
    </row>
    <row r="192" spans="14:14" ht="13" customHeight="1" x14ac:dyDescent="0.15">
      <c r="N192" s="82" t="e">
        <f>_xlfn.NORM.DIST(#REF!,Mean,StdDev,FALSE)</f>
        <v>#REF!</v>
      </c>
    </row>
    <row r="193" spans="13:15" ht="13" customHeight="1" x14ac:dyDescent="0.15">
      <c r="N193" s="82" t="e">
        <f>_xlfn.NORM.DIST(#REF!,Mean,StdDev,FALSE)</f>
        <v>#REF!</v>
      </c>
    </row>
    <row r="194" spans="13:15" ht="13" customHeight="1" x14ac:dyDescent="0.15">
      <c r="N194" s="82" t="e">
        <f>_xlfn.NORM.DIST(#REF!,Mean,StdDev,FALSE)</f>
        <v>#REF!</v>
      </c>
    </row>
    <row r="195" spans="13:15" ht="13" customHeight="1" x14ac:dyDescent="0.15"/>
    <row r="196" spans="13:15" ht="13" customHeight="1" x14ac:dyDescent="0.15"/>
    <row r="197" spans="13:15" ht="13" customHeight="1" x14ac:dyDescent="0.15">
      <c r="M197" s="78" t="s">
        <v>15</v>
      </c>
      <c r="N197" s="78" t="s">
        <v>102</v>
      </c>
      <c r="O197" s="78" t="s">
        <v>103</v>
      </c>
    </row>
    <row r="198" spans="13:15" ht="13" customHeight="1" x14ac:dyDescent="0.15">
      <c r="N198" t="e">
        <f>_xlfn.NORM.DIST(#REF!,Mean,StdDev,FALSE)</f>
        <v>#REF!</v>
      </c>
    </row>
    <row r="199" spans="13:15" ht="13" customHeight="1" x14ac:dyDescent="0.15">
      <c r="N199" t="e">
        <f>_xlfn.NORM.DIST(#REF!,Mean,StdDev,FALSE)</f>
        <v>#REF!</v>
      </c>
    </row>
    <row r="200" spans="13:15" ht="13" customHeight="1" x14ac:dyDescent="0.15">
      <c r="N200" t="e">
        <f>_xlfn.NORM.DIST(#REF!,Mean,StdDev,FALSE)</f>
        <v>#REF!</v>
      </c>
    </row>
    <row r="201" spans="13:15" ht="13" customHeight="1" x14ac:dyDescent="0.15">
      <c r="N201" t="e">
        <f>_xlfn.NORM.DIST(#REF!,Mean,StdDev,FALSE)</f>
        <v>#REF!</v>
      </c>
    </row>
    <row r="202" spans="13:15" ht="13" customHeight="1" x14ac:dyDescent="0.15">
      <c r="N202" t="e">
        <f>_xlfn.NORM.DIST(#REF!,Mean,StdDev,FALSE)</f>
        <v>#REF!</v>
      </c>
    </row>
    <row r="203" spans="13:15" ht="13" customHeight="1" x14ac:dyDescent="0.15">
      <c r="N203" t="e">
        <f>_xlfn.NORM.DIST(#REF!,Mean,StdDev,FALSE)</f>
        <v>#REF!</v>
      </c>
    </row>
    <row r="204" spans="13:15" ht="13" customHeight="1" x14ac:dyDescent="0.15">
      <c r="N204" t="e">
        <f>_xlfn.NORM.DIST(#REF!,Mean,StdDev,FALSE)</f>
        <v>#REF!</v>
      </c>
    </row>
    <row r="205" spans="13:15" ht="13" customHeight="1" x14ac:dyDescent="0.15">
      <c r="N205" t="e">
        <f>_xlfn.NORM.DIST(#REF!,Mean,StdDev,FALSE)</f>
        <v>#REF!</v>
      </c>
    </row>
    <row r="206" spans="13:15" ht="13" customHeight="1" x14ac:dyDescent="0.15">
      <c r="N206" t="e">
        <f>_xlfn.NORM.DIST(#REF!,Mean,StdDev,FALSE)</f>
        <v>#REF!</v>
      </c>
    </row>
    <row r="207" spans="13:15" ht="13" customHeight="1" x14ac:dyDescent="0.15">
      <c r="N207" t="e">
        <f>_xlfn.NORM.DIST(#REF!,Mean,StdDev,FALSE)</f>
        <v>#REF!</v>
      </c>
    </row>
    <row r="208" spans="13:15" ht="13" customHeight="1" x14ac:dyDescent="0.15">
      <c r="N208" t="e">
        <f>_xlfn.NORM.DIST(#REF!,Mean,StdDev,FALSE)</f>
        <v>#REF!</v>
      </c>
    </row>
    <row r="209" spans="14:14" ht="13" customHeight="1" x14ac:dyDescent="0.15">
      <c r="N209" t="e">
        <f>_xlfn.NORM.DIST(#REF!,Mean,StdDev,FALSE)</f>
        <v>#REF!</v>
      </c>
    </row>
    <row r="210" spans="14:14" ht="13" customHeight="1" x14ac:dyDescent="0.15">
      <c r="N210" t="e">
        <f>_xlfn.NORM.DIST(#REF!,Mean,StdDev,FALSE)</f>
        <v>#REF!</v>
      </c>
    </row>
    <row r="211" spans="14:14" ht="13" customHeight="1" x14ac:dyDescent="0.15">
      <c r="N211" t="e">
        <f>_xlfn.NORM.DIST(#REF!,Mean,StdDev,FALSE)</f>
        <v>#REF!</v>
      </c>
    </row>
    <row r="212" spans="14:14" ht="13" customHeight="1" x14ac:dyDescent="0.15">
      <c r="N212" t="e">
        <f>_xlfn.NORM.DIST(#REF!,Mean,StdDev,FALSE)</f>
        <v>#REF!</v>
      </c>
    </row>
    <row r="213" spans="14:14" ht="13" customHeight="1" x14ac:dyDescent="0.15">
      <c r="N213" t="e">
        <f>_xlfn.NORM.DIST(#REF!,Mean,StdDev,FALSE)</f>
        <v>#REF!</v>
      </c>
    </row>
    <row r="214" spans="14:14" ht="13" customHeight="1" x14ac:dyDescent="0.15">
      <c r="N214" t="e">
        <f>_xlfn.NORM.DIST(#REF!,Mean,StdDev,FALSE)</f>
        <v>#REF!</v>
      </c>
    </row>
    <row r="215" spans="14:14" ht="13" customHeight="1" x14ac:dyDescent="0.15">
      <c r="N215" t="e">
        <f>_xlfn.NORM.DIST(#REF!,Mean,StdDev,FALSE)</f>
        <v>#REF!</v>
      </c>
    </row>
    <row r="216" spans="14:14" ht="13" customHeight="1" x14ac:dyDescent="0.15">
      <c r="N216" t="e">
        <f>_xlfn.NORM.DIST(#REF!,Mean,StdDev,FALSE)</f>
        <v>#REF!</v>
      </c>
    </row>
    <row r="217" spans="14:14" ht="13" customHeight="1" x14ac:dyDescent="0.15">
      <c r="N217" t="e">
        <f>_xlfn.NORM.DIST(#REF!,Mean,StdDev,FALSE)</f>
        <v>#REF!</v>
      </c>
    </row>
    <row r="218" spans="14:14" ht="13" customHeight="1" x14ac:dyDescent="0.15">
      <c r="N218" t="e">
        <f>_xlfn.NORM.DIST(#REF!,Mean,StdDev,FALSE)</f>
        <v>#REF!</v>
      </c>
    </row>
    <row r="219" spans="14:14" ht="13" customHeight="1" x14ac:dyDescent="0.15">
      <c r="N219" t="e">
        <f>_xlfn.NORM.DIST(#REF!,Mean,StdDev,FALSE)</f>
        <v>#REF!</v>
      </c>
    </row>
    <row r="220" spans="14:14" ht="13" customHeight="1" x14ac:dyDescent="0.15">
      <c r="N220" t="e">
        <f>_xlfn.NORM.DIST(#REF!,Mean,StdDev,FALSE)</f>
        <v>#REF!</v>
      </c>
    </row>
    <row r="221" spans="14:14" ht="13" customHeight="1" x14ac:dyDescent="0.15">
      <c r="N221" t="e">
        <f>_xlfn.NORM.DIST(#REF!,Mean,StdDev,FALSE)</f>
        <v>#REF!</v>
      </c>
    </row>
    <row r="222" spans="14:14" ht="13" customHeight="1" x14ac:dyDescent="0.15">
      <c r="N222" t="e">
        <f>_xlfn.NORM.DIST(#REF!,Mean,StdDev,FALSE)</f>
        <v>#REF!</v>
      </c>
    </row>
    <row r="223" spans="14:14" ht="13" customHeight="1" x14ac:dyDescent="0.15">
      <c r="N223" t="e">
        <f>_xlfn.NORM.DIST(#REF!,Mean,StdDev,FALSE)</f>
        <v>#REF!</v>
      </c>
    </row>
    <row r="224" spans="14:14" ht="13" customHeight="1" x14ac:dyDescent="0.15">
      <c r="N224" t="e">
        <f>_xlfn.NORM.DIST(#REF!,Mean,StdDev,FALSE)</f>
        <v>#REF!</v>
      </c>
    </row>
    <row r="225" spans="14:14" ht="13" customHeight="1" x14ac:dyDescent="0.15">
      <c r="N225" t="e">
        <f>_xlfn.NORM.DIST(#REF!,Mean,StdDev,FALSE)</f>
        <v>#REF!</v>
      </c>
    </row>
    <row r="226" spans="14:14" ht="13" customHeight="1" x14ac:dyDescent="0.15">
      <c r="N226" t="e">
        <f>_xlfn.NORM.DIST(#REF!,Mean,StdDev,FALSE)</f>
        <v>#REF!</v>
      </c>
    </row>
    <row r="227" spans="14:14" ht="13" customHeight="1" x14ac:dyDescent="0.15">
      <c r="N227" t="e">
        <f>_xlfn.NORM.DIST(#REF!,Mean,StdDev,FALSE)</f>
        <v>#REF!</v>
      </c>
    </row>
    <row r="228" spans="14:14" ht="13" customHeight="1" x14ac:dyDescent="0.15">
      <c r="N228" t="e">
        <f>_xlfn.NORM.DIST(#REF!,Mean,StdDev,FALSE)</f>
        <v>#REF!</v>
      </c>
    </row>
    <row r="229" spans="14:14" ht="13" customHeight="1" x14ac:dyDescent="0.15">
      <c r="N229" t="e">
        <f>_xlfn.NORM.DIST(#REF!,Mean,StdDev,FALSE)</f>
        <v>#REF!</v>
      </c>
    </row>
    <row r="230" spans="14:14" ht="13" customHeight="1" x14ac:dyDescent="0.15">
      <c r="N230" t="e">
        <f>_xlfn.NORM.DIST(#REF!,Mean,StdDev,FALSE)</f>
        <v>#REF!</v>
      </c>
    </row>
    <row r="231" spans="14:14" ht="13" customHeight="1" x14ac:dyDescent="0.15">
      <c r="N231" t="e">
        <f>_xlfn.NORM.DIST(#REF!,Mean,StdDev,FALSE)</f>
        <v>#REF!</v>
      </c>
    </row>
    <row r="232" spans="14:14" ht="13" customHeight="1" x14ac:dyDescent="0.15">
      <c r="N232" t="e">
        <f>_xlfn.NORM.DIST(#REF!,Mean,StdDev,FALSE)</f>
        <v>#REF!</v>
      </c>
    </row>
    <row r="233" spans="14:14" ht="13" customHeight="1" x14ac:dyDescent="0.15">
      <c r="N233" t="e">
        <f>_xlfn.NORM.DIST(#REF!,Mean,StdDev,FALSE)</f>
        <v>#REF!</v>
      </c>
    </row>
    <row r="234" spans="14:14" ht="13" customHeight="1" x14ac:dyDescent="0.15">
      <c r="N234" t="e">
        <f>_xlfn.NORM.DIST(#REF!,Mean,StdDev,FALSE)</f>
        <v>#REF!</v>
      </c>
    </row>
    <row r="235" spans="14:14" ht="13" customHeight="1" x14ac:dyDescent="0.15">
      <c r="N235" t="e">
        <f>_xlfn.NORM.DIST(#REF!,Mean,StdDev,FALSE)</f>
        <v>#REF!</v>
      </c>
    </row>
    <row r="236" spans="14:14" ht="13" customHeight="1" x14ac:dyDescent="0.15">
      <c r="N236" t="e">
        <f>_xlfn.NORM.DIST(#REF!,Mean,StdDev,FALSE)</f>
        <v>#REF!</v>
      </c>
    </row>
    <row r="237" spans="14:14" ht="13" customHeight="1" x14ac:dyDescent="0.15">
      <c r="N237" t="e">
        <f>_xlfn.NORM.DIST(#REF!,Mean,StdDev,FALSE)</f>
        <v>#REF!</v>
      </c>
    </row>
    <row r="238" spans="14:14" ht="13" customHeight="1" x14ac:dyDescent="0.15">
      <c r="N238" t="e">
        <f>_xlfn.NORM.DIST(#REF!,Mean,StdDev,FALSE)</f>
        <v>#REF!</v>
      </c>
    </row>
    <row r="239" spans="14:14" ht="13" customHeight="1" x14ac:dyDescent="0.15">
      <c r="N239" t="e">
        <f>_xlfn.NORM.DIST(#REF!,Mean,StdDev,FALSE)</f>
        <v>#REF!</v>
      </c>
    </row>
    <row r="240" spans="14:14" ht="13" customHeight="1" x14ac:dyDescent="0.15">
      <c r="N240" t="e">
        <f>_xlfn.NORM.DIST(#REF!,Mean,StdDev,FALSE)</f>
        <v>#REF!</v>
      </c>
    </row>
    <row r="241" spans="14:14" ht="13" customHeight="1" x14ac:dyDescent="0.15">
      <c r="N241" t="e">
        <f>_xlfn.NORM.DIST(#REF!,Mean,StdDev,FALSE)</f>
        <v>#REF!</v>
      </c>
    </row>
    <row r="242" spans="14:14" ht="13" customHeight="1" x14ac:dyDescent="0.15">
      <c r="N242" t="e">
        <f>_xlfn.NORM.DIST(#REF!,Mean,StdDev,FALSE)</f>
        <v>#REF!</v>
      </c>
    </row>
    <row r="243" spans="14:14" x14ac:dyDescent="0.15">
      <c r="N243" t="e">
        <f>_xlfn.NORM.DIST(#REF!,Mean,StdDev,FALSE)</f>
        <v>#REF!</v>
      </c>
    </row>
    <row r="244" spans="14:14" x14ac:dyDescent="0.15">
      <c r="N244" t="e">
        <f>_xlfn.NORM.DIST(#REF!,Mean,StdDev,FALSE)</f>
        <v>#REF!</v>
      </c>
    </row>
    <row r="245" spans="14:14" x14ac:dyDescent="0.15">
      <c r="N245" t="e">
        <f>_xlfn.NORM.DIST(#REF!,Mean,StdDev,FALSE)</f>
        <v>#REF!</v>
      </c>
    </row>
    <row r="246" spans="14:14" x14ac:dyDescent="0.15">
      <c r="N246" t="e">
        <f>_xlfn.NORM.DIST(#REF!,Mean,StdDev,FALSE)</f>
        <v>#REF!</v>
      </c>
    </row>
    <row r="247" spans="14:14" x14ac:dyDescent="0.15">
      <c r="N247" t="e">
        <f>_xlfn.NORM.DIST(#REF!,Mean,StdDev,FALSE)</f>
        <v>#REF!</v>
      </c>
    </row>
    <row r="248" spans="14:14" x14ac:dyDescent="0.15">
      <c r="N248" t="e">
        <f>_xlfn.NORM.DIST(#REF!,Mean,StdDev,FALSE)</f>
        <v>#REF!</v>
      </c>
    </row>
    <row r="249" spans="14:14" x14ac:dyDescent="0.15">
      <c r="N249" t="e">
        <f>_xlfn.NORM.DIST(#REF!,Mean,StdDev,FALSE)</f>
        <v>#REF!</v>
      </c>
    </row>
    <row r="250" spans="14:14" x14ac:dyDescent="0.15">
      <c r="N250" t="e">
        <f>_xlfn.NORM.DIST(#REF!,Mean,StdDev,FALSE)</f>
        <v>#REF!</v>
      </c>
    </row>
    <row r="251" spans="14:14" x14ac:dyDescent="0.15">
      <c r="N251" t="e">
        <f>_xlfn.NORM.DIST(#REF!,Mean,StdDev,FALSE)</f>
        <v>#REF!</v>
      </c>
    </row>
    <row r="252" spans="14:14" x14ac:dyDescent="0.15">
      <c r="N252" t="e">
        <f>_xlfn.NORM.DIST(#REF!,Mean,StdDev,FALSE)</f>
        <v>#REF!</v>
      </c>
    </row>
    <row r="253" spans="14:14" x14ac:dyDescent="0.15">
      <c r="N253" t="e">
        <f>_xlfn.NORM.DIST(#REF!,Mean,StdDev,FALSE)</f>
        <v>#REF!</v>
      </c>
    </row>
    <row r="254" spans="14:14" x14ac:dyDescent="0.15">
      <c r="N254" t="e">
        <f>_xlfn.NORM.DIST(#REF!,Mean,StdDev,FALSE)</f>
        <v>#REF!</v>
      </c>
    </row>
    <row r="255" spans="14:14" x14ac:dyDescent="0.15">
      <c r="N255" t="e">
        <f>_xlfn.NORM.DIST(#REF!,Mean,StdDev,FALSE)</f>
        <v>#REF!</v>
      </c>
    </row>
    <row r="256" spans="14:14" x14ac:dyDescent="0.15">
      <c r="N256" t="e">
        <f>_xlfn.NORM.DIST(#REF!,Mean,StdDev,FALSE)</f>
        <v>#REF!</v>
      </c>
    </row>
    <row r="257" spans="14:14" x14ac:dyDescent="0.15">
      <c r="N257" t="e">
        <f>_xlfn.NORM.DIST(#REF!,Mean,StdDev,FALSE)</f>
        <v>#REF!</v>
      </c>
    </row>
    <row r="258" spans="14:14" x14ac:dyDescent="0.15">
      <c r="N258" t="e">
        <f>_xlfn.NORM.DIST(#REF!,Mean,StdDev,FALSE)</f>
        <v>#REF!</v>
      </c>
    </row>
  </sheetData>
  <mergeCells count="1">
    <mergeCell ref="A2:C2"/>
  </mergeCells>
  <phoneticPr fontId="22"/>
  <pageMargins left="0.7" right="0.7" top="0.75" bottom="0.75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0"/>
  <sheetViews>
    <sheetView zoomScale="200" zoomScaleNormal="200" zoomScalePageLayoutView="2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14" sqref="D14"/>
    </sheetView>
  </sheetViews>
  <sheetFormatPr baseColWidth="10" defaultColWidth="8.83203125" defaultRowHeight="13" x14ac:dyDescent="0.15"/>
  <sheetData>
    <row r="1" spans="1:8" ht="14" x14ac:dyDescent="0.15">
      <c r="A1" s="33" t="s">
        <v>139</v>
      </c>
    </row>
    <row r="2" spans="1:8" ht="3" customHeight="1" x14ac:dyDescent="0.15">
      <c r="A2" s="19"/>
    </row>
    <row r="3" spans="1:8" ht="9" customHeight="1" x14ac:dyDescent="0.15">
      <c r="B3" s="62" t="s">
        <v>118</v>
      </c>
    </row>
    <row r="4" spans="1:8" ht="9" customHeight="1" x14ac:dyDescent="0.15">
      <c r="B4" s="62" t="s">
        <v>73</v>
      </c>
    </row>
    <row r="5" spans="1:8" x14ac:dyDescent="0.15">
      <c r="D5" s="19" t="s">
        <v>74</v>
      </c>
    </row>
    <row r="6" spans="1:8" x14ac:dyDescent="0.15">
      <c r="A6" s="25" t="s">
        <v>75</v>
      </c>
      <c r="B6" s="24">
        <v>0.2</v>
      </c>
      <c r="C6" s="24">
        <v>0.1</v>
      </c>
      <c r="D6" s="24">
        <v>0.05</v>
      </c>
      <c r="E6" s="24">
        <v>0.02</v>
      </c>
      <c r="F6" s="24">
        <v>0.01</v>
      </c>
      <c r="G6" s="24">
        <v>2E-3</v>
      </c>
      <c r="H6" s="24">
        <v>1E-3</v>
      </c>
    </row>
    <row r="7" spans="1:8" x14ac:dyDescent="0.15">
      <c r="D7" s="19" t="s">
        <v>40</v>
      </c>
    </row>
    <row r="8" spans="1:8" ht="14.25" customHeight="1" x14ac:dyDescent="0.15">
      <c r="A8" s="25" t="s">
        <v>145</v>
      </c>
      <c r="B8" s="24">
        <v>0.1</v>
      </c>
      <c r="C8" s="24">
        <v>0.05</v>
      </c>
      <c r="D8" s="24">
        <v>2.5000000000000001E-2</v>
      </c>
      <c r="E8" s="24">
        <v>0.01</v>
      </c>
      <c r="F8" s="24">
        <v>5.0000000000000001E-3</v>
      </c>
      <c r="G8" s="24">
        <v>1E-3</v>
      </c>
      <c r="H8" s="24">
        <v>5.0000000000000001E-4</v>
      </c>
    </row>
    <row r="9" spans="1:8" ht="3.75" customHeight="1" x14ac:dyDescent="0.15">
      <c r="A9" s="28"/>
      <c r="B9" s="29"/>
      <c r="C9" s="29"/>
      <c r="D9" s="29"/>
      <c r="E9" s="29"/>
      <c r="F9" s="29"/>
      <c r="G9" s="29"/>
      <c r="H9" s="29"/>
    </row>
    <row r="10" spans="1:8" x14ac:dyDescent="0.15">
      <c r="A10" s="26">
        <v>1</v>
      </c>
      <c r="B10" s="27">
        <f t="shared" ref="B10:B41" si="0">_xlfn.T.INV.2T($B$8*2,A10)</f>
        <v>3.077683537175254</v>
      </c>
      <c r="C10" s="27">
        <f t="shared" ref="C10:C41" si="1">_xlfn.T.INV.2T($C$8*2,A10)</f>
        <v>6.3137515146750438</v>
      </c>
      <c r="D10" s="27">
        <f t="shared" ref="D10:D41" si="2">_xlfn.T.INV.2T($D$8*2,A10)</f>
        <v>12.706204736174707</v>
      </c>
      <c r="E10" s="27">
        <f t="shared" ref="E10:E41" si="3">_xlfn.T.INV.2T($E$8*2,A10)</f>
        <v>31.820515953773956</v>
      </c>
      <c r="F10" s="27">
        <f t="shared" ref="F10:F41" si="4">_xlfn.T.INV.2T($F$8*2,A10)</f>
        <v>63.656741162871583</v>
      </c>
      <c r="G10" s="27">
        <f t="shared" ref="G10:G41" si="5">_xlfn.T.INV.2T($G$8*2,A10)</f>
        <v>318.30883898555044</v>
      </c>
      <c r="H10" s="27">
        <f t="shared" ref="H10:H41" si="6">_xlfn.T.INV.2T($H$8*2,A10)</f>
        <v>636.61924876871956</v>
      </c>
    </row>
    <row r="11" spans="1:8" x14ac:dyDescent="0.15">
      <c r="A11" s="26">
        <v>2</v>
      </c>
      <c r="B11" s="27">
        <f t="shared" si="0"/>
        <v>1.8856180831641267</v>
      </c>
      <c r="C11" s="27">
        <f t="shared" si="1"/>
        <v>2.9199855803537269</v>
      </c>
      <c r="D11" s="27">
        <f t="shared" si="2"/>
        <v>4.3026527297494637</v>
      </c>
      <c r="E11" s="27">
        <f t="shared" si="3"/>
        <v>6.9645567342832733</v>
      </c>
      <c r="F11" s="27">
        <f t="shared" si="4"/>
        <v>9.9248432009182928</v>
      </c>
      <c r="G11" s="27">
        <f t="shared" si="5"/>
        <v>22.327124770119873</v>
      </c>
      <c r="H11" s="27">
        <f t="shared" si="6"/>
        <v>31.599054576443621</v>
      </c>
    </row>
    <row r="12" spans="1:8" x14ac:dyDescent="0.15">
      <c r="A12" s="26">
        <v>3</v>
      </c>
      <c r="B12" s="27">
        <f t="shared" si="0"/>
        <v>1.63774435369621</v>
      </c>
      <c r="C12" s="27">
        <f t="shared" si="1"/>
        <v>2.3533634348018233</v>
      </c>
      <c r="D12" s="27">
        <f t="shared" si="2"/>
        <v>3.1824463052837091</v>
      </c>
      <c r="E12" s="27">
        <f t="shared" si="3"/>
        <v>4.5407028585681335</v>
      </c>
      <c r="F12" s="27">
        <f t="shared" si="4"/>
        <v>5.8409093097333571</v>
      </c>
      <c r="G12" s="27">
        <f t="shared" si="5"/>
        <v>10.214531852407385</v>
      </c>
      <c r="H12" s="27">
        <f t="shared" si="6"/>
        <v>12.923978636687485</v>
      </c>
    </row>
    <row r="13" spans="1:8" x14ac:dyDescent="0.15">
      <c r="A13" s="26">
        <v>4</v>
      </c>
      <c r="B13" s="27">
        <f t="shared" si="0"/>
        <v>1.5332062740589443</v>
      </c>
      <c r="C13" s="27">
        <f t="shared" si="1"/>
        <v>2.1318467863266499</v>
      </c>
      <c r="D13" s="27">
        <f t="shared" si="2"/>
        <v>2.7764451051977934</v>
      </c>
      <c r="E13" s="27">
        <f t="shared" si="3"/>
        <v>3.7469473879791968</v>
      </c>
      <c r="F13" s="27">
        <f t="shared" si="4"/>
        <v>4.604094871349993</v>
      </c>
      <c r="G13" s="27">
        <f t="shared" si="5"/>
        <v>7.1731822197823085</v>
      </c>
      <c r="H13" s="27">
        <f t="shared" si="6"/>
        <v>8.6103015813792751</v>
      </c>
    </row>
    <row r="14" spans="1:8" x14ac:dyDescent="0.15">
      <c r="A14" s="26">
        <v>5</v>
      </c>
      <c r="B14" s="27">
        <f t="shared" si="0"/>
        <v>1.4758840488244813</v>
      </c>
      <c r="C14" s="27">
        <f t="shared" si="1"/>
        <v>2.0150483733330233</v>
      </c>
      <c r="D14" s="27">
        <f>_xlfn.T.INV.2T($D$8*2,A14)</f>
        <v>2.570581835636315</v>
      </c>
      <c r="E14" s="27">
        <f t="shared" si="3"/>
        <v>3.3649299989072183</v>
      </c>
      <c r="F14" s="27">
        <f t="shared" si="4"/>
        <v>4.0321429835552278</v>
      </c>
      <c r="G14" s="27">
        <f t="shared" si="5"/>
        <v>5.893429531356011</v>
      </c>
      <c r="H14" s="27">
        <f t="shared" si="6"/>
        <v>6.8688266258811099</v>
      </c>
    </row>
    <row r="15" spans="1:8" x14ac:dyDescent="0.15">
      <c r="A15" s="26">
        <v>6</v>
      </c>
      <c r="B15" s="27">
        <f t="shared" si="0"/>
        <v>1.4397557472651481</v>
      </c>
      <c r="C15" s="27">
        <f t="shared" si="1"/>
        <v>1.9431802805153031</v>
      </c>
      <c r="D15" s="27">
        <f t="shared" si="2"/>
        <v>2.4469118511449697</v>
      </c>
      <c r="E15" s="27">
        <f t="shared" si="3"/>
        <v>3.1426684032909828</v>
      </c>
      <c r="F15" s="27">
        <f t="shared" si="4"/>
        <v>3.7074280213247794</v>
      </c>
      <c r="G15" s="27">
        <f t="shared" si="5"/>
        <v>5.2076262387253633</v>
      </c>
      <c r="H15" s="27">
        <f t="shared" si="6"/>
        <v>5.9588161788187586</v>
      </c>
    </row>
    <row r="16" spans="1:8" x14ac:dyDescent="0.15">
      <c r="A16" s="26">
        <v>7</v>
      </c>
      <c r="B16" s="27">
        <f t="shared" si="0"/>
        <v>1.4149239276505079</v>
      </c>
      <c r="C16" s="27">
        <f t="shared" si="1"/>
        <v>1.8945786050900073</v>
      </c>
      <c r="D16" s="27">
        <f t="shared" si="2"/>
        <v>2.3646242515927849</v>
      </c>
      <c r="E16" s="27">
        <f t="shared" si="3"/>
        <v>2.997951566868529</v>
      </c>
      <c r="F16" s="27">
        <f t="shared" si="4"/>
        <v>3.4994832973504946</v>
      </c>
      <c r="G16" s="27">
        <f t="shared" si="5"/>
        <v>4.785289628638334</v>
      </c>
      <c r="H16" s="27">
        <f t="shared" si="6"/>
        <v>5.4078825208617252</v>
      </c>
    </row>
    <row r="17" spans="1:8" x14ac:dyDescent="0.15">
      <c r="A17" s="26">
        <v>8</v>
      </c>
      <c r="B17" s="27">
        <f t="shared" si="0"/>
        <v>1.3968153097438645</v>
      </c>
      <c r="C17" s="27">
        <f t="shared" si="1"/>
        <v>1.8595480375308981</v>
      </c>
      <c r="D17" s="27">
        <f t="shared" si="2"/>
        <v>2.3060041352041671</v>
      </c>
      <c r="E17" s="27">
        <f t="shared" si="3"/>
        <v>2.8964594477096224</v>
      </c>
      <c r="F17" s="27">
        <f t="shared" si="4"/>
        <v>3.3553873313333953</v>
      </c>
      <c r="G17" s="27">
        <f t="shared" si="5"/>
        <v>4.5007909337237244</v>
      </c>
      <c r="H17" s="27">
        <f t="shared" si="6"/>
        <v>5.0413054333733669</v>
      </c>
    </row>
    <row r="18" spans="1:8" x14ac:dyDescent="0.15">
      <c r="A18" s="26">
        <v>9</v>
      </c>
      <c r="B18" s="27">
        <f t="shared" si="0"/>
        <v>1.383028738396632</v>
      </c>
      <c r="C18" s="27">
        <f t="shared" si="1"/>
        <v>1.8331129326562374</v>
      </c>
      <c r="D18" s="27">
        <f t="shared" si="2"/>
        <v>2.2621571627982053</v>
      </c>
      <c r="E18" s="27">
        <f t="shared" si="3"/>
        <v>2.8214379250258084</v>
      </c>
      <c r="F18" s="27">
        <f t="shared" si="4"/>
        <v>3.2498355415921263</v>
      </c>
      <c r="G18" s="27">
        <f t="shared" si="5"/>
        <v>4.2968056627299189</v>
      </c>
      <c r="H18" s="27">
        <f t="shared" si="6"/>
        <v>4.7809125859311381</v>
      </c>
    </row>
    <row r="19" spans="1:8" x14ac:dyDescent="0.15">
      <c r="A19" s="26">
        <v>10</v>
      </c>
      <c r="B19" s="27">
        <f t="shared" si="0"/>
        <v>1.3721836411103363</v>
      </c>
      <c r="C19" s="27">
        <f t="shared" si="1"/>
        <v>1.812461122811676</v>
      </c>
      <c r="D19" s="27">
        <f t="shared" si="2"/>
        <v>2.2281388519862744</v>
      </c>
      <c r="E19" s="27">
        <f t="shared" si="3"/>
        <v>2.7637694581126966</v>
      </c>
      <c r="F19" s="27">
        <f t="shared" si="4"/>
        <v>3.1692726726169518</v>
      </c>
      <c r="G19" s="27">
        <f t="shared" si="5"/>
        <v>4.1437004940465902</v>
      </c>
      <c r="H19" s="27">
        <f t="shared" si="6"/>
        <v>4.586893858702636</v>
      </c>
    </row>
    <row r="20" spans="1:8" x14ac:dyDescent="0.15">
      <c r="A20" s="26">
        <v>11</v>
      </c>
      <c r="B20" s="27">
        <f t="shared" si="0"/>
        <v>1.3634303180205409</v>
      </c>
      <c r="C20" s="27">
        <f t="shared" si="1"/>
        <v>1.7958848187040437</v>
      </c>
      <c r="D20" s="27">
        <f t="shared" si="2"/>
        <v>2.2009851600916384</v>
      </c>
      <c r="E20" s="27">
        <f t="shared" si="3"/>
        <v>2.7180791838138614</v>
      </c>
      <c r="F20" s="27">
        <f t="shared" si="4"/>
        <v>3.1058065155392809</v>
      </c>
      <c r="G20" s="27">
        <f t="shared" si="5"/>
        <v>4.0247010376307388</v>
      </c>
      <c r="H20" s="27">
        <f t="shared" si="6"/>
        <v>4.4369793382344493</v>
      </c>
    </row>
    <row r="21" spans="1:8" x14ac:dyDescent="0.15">
      <c r="A21" s="26">
        <v>12</v>
      </c>
      <c r="B21" s="27">
        <f t="shared" si="0"/>
        <v>1.3562173340232047</v>
      </c>
      <c r="C21" s="27">
        <f t="shared" si="1"/>
        <v>1.7822875556493194</v>
      </c>
      <c r="D21" s="27">
        <f t="shared" si="2"/>
        <v>2.1788128296672284</v>
      </c>
      <c r="E21" s="27">
        <f t="shared" si="3"/>
        <v>2.6809979931209149</v>
      </c>
      <c r="F21" s="27">
        <f t="shared" si="4"/>
        <v>3.0545395893929017</v>
      </c>
      <c r="G21" s="27">
        <f t="shared" si="5"/>
        <v>3.9296332646264918</v>
      </c>
      <c r="H21" s="27">
        <f t="shared" si="6"/>
        <v>4.3177912836061845</v>
      </c>
    </row>
    <row r="22" spans="1:8" x14ac:dyDescent="0.15">
      <c r="A22" s="26">
        <v>13</v>
      </c>
      <c r="B22" s="27">
        <f t="shared" si="0"/>
        <v>1.3501712887800554</v>
      </c>
      <c r="C22" s="27">
        <f t="shared" si="1"/>
        <v>1.7709333959868729</v>
      </c>
      <c r="D22" s="27">
        <f t="shared" si="2"/>
        <v>2.1603686564627926</v>
      </c>
      <c r="E22" s="27">
        <f t="shared" si="3"/>
        <v>2.650308837912192</v>
      </c>
      <c r="F22" s="27">
        <f t="shared" si="4"/>
        <v>3.0122758387165782</v>
      </c>
      <c r="G22" s="27">
        <f t="shared" si="5"/>
        <v>3.8519823911683879</v>
      </c>
      <c r="H22" s="27">
        <f t="shared" si="6"/>
        <v>4.2208317277071208</v>
      </c>
    </row>
    <row r="23" spans="1:8" x14ac:dyDescent="0.15">
      <c r="A23" s="26">
        <v>14</v>
      </c>
      <c r="B23" s="27">
        <f t="shared" si="0"/>
        <v>1.3450303744546506</v>
      </c>
      <c r="C23" s="27">
        <f t="shared" si="1"/>
        <v>1.7613101357748921</v>
      </c>
      <c r="D23" s="27">
        <f t="shared" si="2"/>
        <v>2.1447866879178044</v>
      </c>
      <c r="E23" s="27">
        <f t="shared" si="3"/>
        <v>2.6244940675900517</v>
      </c>
      <c r="F23" s="27">
        <f t="shared" si="4"/>
        <v>2.9768427343708348</v>
      </c>
      <c r="G23" s="27">
        <f t="shared" si="5"/>
        <v>3.7873902375233461</v>
      </c>
      <c r="H23" s="27">
        <f t="shared" si="6"/>
        <v>4.1404541127382029</v>
      </c>
    </row>
    <row r="24" spans="1:8" x14ac:dyDescent="0.15">
      <c r="A24" s="26">
        <v>15</v>
      </c>
      <c r="B24" s="27">
        <f t="shared" si="0"/>
        <v>1.3406056078504547</v>
      </c>
      <c r="C24" s="27">
        <f t="shared" si="1"/>
        <v>1.7530503556925723</v>
      </c>
      <c r="D24" s="27">
        <f t="shared" si="2"/>
        <v>2.1314495455597742</v>
      </c>
      <c r="E24" s="27">
        <f t="shared" si="3"/>
        <v>2.6024802950111221</v>
      </c>
      <c r="F24" s="27">
        <f t="shared" si="4"/>
        <v>2.9467128834752381</v>
      </c>
      <c r="G24" s="27">
        <f t="shared" si="5"/>
        <v>3.7328344253108998</v>
      </c>
      <c r="H24" s="27">
        <f t="shared" si="6"/>
        <v>4.0727651959037905</v>
      </c>
    </row>
    <row r="25" spans="1:8" x14ac:dyDescent="0.15">
      <c r="A25" s="26">
        <v>16</v>
      </c>
      <c r="B25" s="27">
        <f t="shared" si="0"/>
        <v>1.3367571673273144</v>
      </c>
      <c r="C25" s="27">
        <f t="shared" si="1"/>
        <v>1.7458836762762506</v>
      </c>
      <c r="D25" s="27">
        <f t="shared" si="2"/>
        <v>2.119905299221255</v>
      </c>
      <c r="E25" s="27">
        <f t="shared" si="3"/>
        <v>2.5834871852759917</v>
      </c>
      <c r="F25" s="27">
        <f t="shared" si="4"/>
        <v>2.9207816224251002</v>
      </c>
      <c r="G25" s="27">
        <f t="shared" si="5"/>
        <v>3.6861547926860139</v>
      </c>
      <c r="H25" s="27">
        <f t="shared" si="6"/>
        <v>4.0149963271840559</v>
      </c>
    </row>
    <row r="26" spans="1:8" x14ac:dyDescent="0.15">
      <c r="A26" s="26">
        <v>17</v>
      </c>
      <c r="B26" s="27">
        <f t="shared" si="0"/>
        <v>1.3333793897216262</v>
      </c>
      <c r="C26" s="27">
        <f t="shared" si="1"/>
        <v>1.7396067260750732</v>
      </c>
      <c r="D26" s="27">
        <f t="shared" si="2"/>
        <v>2.109815577833317</v>
      </c>
      <c r="E26" s="27">
        <f t="shared" si="3"/>
        <v>2.5669339837247178</v>
      </c>
      <c r="F26" s="27">
        <f t="shared" si="4"/>
        <v>2.8982305196774178</v>
      </c>
      <c r="G26" s="27">
        <f t="shared" si="5"/>
        <v>3.6457673800784094</v>
      </c>
      <c r="H26" s="27">
        <f t="shared" si="6"/>
        <v>3.9651262721190315</v>
      </c>
    </row>
    <row r="27" spans="1:8" x14ac:dyDescent="0.15">
      <c r="A27" s="26">
        <v>18</v>
      </c>
      <c r="B27" s="27">
        <f t="shared" si="0"/>
        <v>1.3303909435699084</v>
      </c>
      <c r="C27" s="27">
        <f t="shared" si="1"/>
        <v>1.7340636066175394</v>
      </c>
      <c r="D27" s="27">
        <f t="shared" si="2"/>
        <v>2.1009220402410378</v>
      </c>
      <c r="E27" s="27">
        <f t="shared" si="3"/>
        <v>2.552379630182251</v>
      </c>
      <c r="F27" s="27">
        <f t="shared" si="4"/>
        <v>2.8784404727386073</v>
      </c>
      <c r="G27" s="27">
        <f t="shared" si="5"/>
        <v>3.6104848848250937</v>
      </c>
      <c r="H27" s="27">
        <f t="shared" si="6"/>
        <v>3.9216458250851596</v>
      </c>
    </row>
    <row r="28" spans="1:8" x14ac:dyDescent="0.15">
      <c r="A28" s="26">
        <v>19</v>
      </c>
      <c r="B28" s="27">
        <f t="shared" si="0"/>
        <v>1.3277282090267981</v>
      </c>
      <c r="C28" s="27">
        <f t="shared" si="1"/>
        <v>1.7291328115213698</v>
      </c>
      <c r="D28" s="27">
        <f t="shared" si="2"/>
        <v>2.0930240544083096</v>
      </c>
      <c r="E28" s="27">
        <f t="shared" si="3"/>
        <v>2.5394831906239612</v>
      </c>
      <c r="F28" s="27">
        <f t="shared" si="4"/>
        <v>2.8609346064649799</v>
      </c>
      <c r="G28" s="27">
        <f t="shared" si="5"/>
        <v>3.5794001489547163</v>
      </c>
      <c r="H28" s="27">
        <f t="shared" si="6"/>
        <v>3.883405852592082</v>
      </c>
    </row>
    <row r="29" spans="1:8" x14ac:dyDescent="0.15">
      <c r="A29" s="26">
        <v>20</v>
      </c>
      <c r="B29" s="27">
        <f t="shared" si="0"/>
        <v>1.3253407069850465</v>
      </c>
      <c r="C29" s="27">
        <f t="shared" si="1"/>
        <v>1.7247182429207868</v>
      </c>
      <c r="D29" s="27">
        <f t="shared" si="2"/>
        <v>2.0859634472658648</v>
      </c>
      <c r="E29" s="27">
        <f t="shared" si="3"/>
        <v>2.5279770027415731</v>
      </c>
      <c r="F29" s="27">
        <f t="shared" si="4"/>
        <v>2.8453397097861091</v>
      </c>
      <c r="G29" s="27">
        <f t="shared" si="5"/>
        <v>3.5518083432033336</v>
      </c>
      <c r="H29" s="27">
        <f t="shared" si="6"/>
        <v>3.8495162749308265</v>
      </c>
    </row>
    <row r="30" spans="1:8" x14ac:dyDescent="0.15">
      <c r="A30" s="26">
        <v>21</v>
      </c>
      <c r="B30" s="27">
        <f t="shared" si="0"/>
        <v>1.3231878738651732</v>
      </c>
      <c r="C30" s="27">
        <f t="shared" si="1"/>
        <v>1.7207429028118781</v>
      </c>
      <c r="D30" s="27">
        <f t="shared" si="2"/>
        <v>2.07961384472768</v>
      </c>
      <c r="E30" s="27">
        <f t="shared" si="3"/>
        <v>2.5176480160447423</v>
      </c>
      <c r="F30" s="27">
        <f t="shared" si="4"/>
        <v>2.8313595580230499</v>
      </c>
      <c r="G30" s="27">
        <f t="shared" si="5"/>
        <v>3.5271536688691771</v>
      </c>
      <c r="H30" s="27">
        <f t="shared" si="6"/>
        <v>3.8192771642744621</v>
      </c>
    </row>
    <row r="31" spans="1:8" x14ac:dyDescent="0.15">
      <c r="A31" s="26">
        <v>22</v>
      </c>
      <c r="B31" s="27">
        <f t="shared" si="0"/>
        <v>1.3212367416133624</v>
      </c>
      <c r="C31" s="27">
        <f t="shared" si="1"/>
        <v>1.7171443743802424</v>
      </c>
      <c r="D31" s="27">
        <f t="shared" si="2"/>
        <v>2.0738730679040258</v>
      </c>
      <c r="E31" s="27">
        <f t="shared" si="3"/>
        <v>2.5083245528990807</v>
      </c>
      <c r="F31" s="27">
        <f t="shared" si="4"/>
        <v>2.8187560606001436</v>
      </c>
      <c r="G31" s="27">
        <f t="shared" si="5"/>
        <v>3.5049920310846621</v>
      </c>
      <c r="H31" s="27">
        <f t="shared" si="6"/>
        <v>3.79213067169839</v>
      </c>
    </row>
    <row r="32" spans="1:8" x14ac:dyDescent="0.15">
      <c r="A32" s="26">
        <v>23</v>
      </c>
      <c r="B32" s="27">
        <f t="shared" si="0"/>
        <v>1.3194602398161621</v>
      </c>
      <c r="C32" s="27">
        <f t="shared" si="1"/>
        <v>1.7138715277470482</v>
      </c>
      <c r="D32" s="27">
        <f t="shared" si="2"/>
        <v>2.0686576104190491</v>
      </c>
      <c r="E32" s="27">
        <f t="shared" si="3"/>
        <v>2.4998667394946681</v>
      </c>
      <c r="F32" s="27">
        <f t="shared" si="4"/>
        <v>2.807335683769999</v>
      </c>
      <c r="G32" s="27">
        <f t="shared" si="5"/>
        <v>3.4849643749398127</v>
      </c>
      <c r="H32" s="27">
        <f t="shared" si="6"/>
        <v>3.7676268043117811</v>
      </c>
    </row>
    <row r="33" spans="1:8" x14ac:dyDescent="0.15">
      <c r="A33" s="26">
        <v>24</v>
      </c>
      <c r="B33" s="27">
        <f t="shared" si="0"/>
        <v>1.3178359336731498</v>
      </c>
      <c r="C33" s="27">
        <f t="shared" si="1"/>
        <v>1.7108820799094284</v>
      </c>
      <c r="D33" s="27">
        <f t="shared" si="2"/>
        <v>2.0638985616280254</v>
      </c>
      <c r="E33" s="27">
        <f t="shared" si="3"/>
        <v>2.492159473157757</v>
      </c>
      <c r="F33" s="27">
        <f t="shared" si="4"/>
        <v>2.7969395047744556</v>
      </c>
      <c r="G33" s="27">
        <f t="shared" si="5"/>
        <v>3.4667772980160274</v>
      </c>
      <c r="H33" s="27">
        <f t="shared" si="6"/>
        <v>3.7453986192900528</v>
      </c>
    </row>
    <row r="34" spans="1:8" x14ac:dyDescent="0.15">
      <c r="A34" s="26">
        <v>25</v>
      </c>
      <c r="B34" s="27">
        <f t="shared" si="0"/>
        <v>1.3163450726738706</v>
      </c>
      <c r="C34" s="27">
        <f t="shared" si="1"/>
        <v>1.7081407612518986</v>
      </c>
      <c r="D34" s="27">
        <f t="shared" si="2"/>
        <v>2.0595385527532977</v>
      </c>
      <c r="E34" s="27">
        <f t="shared" si="3"/>
        <v>2.485107175410763</v>
      </c>
      <c r="F34" s="27">
        <f t="shared" si="4"/>
        <v>2.7874358136769706</v>
      </c>
      <c r="G34" s="27">
        <f t="shared" si="5"/>
        <v>3.4501887269730638</v>
      </c>
      <c r="H34" s="27">
        <f t="shared" si="6"/>
        <v>3.7251439497286496</v>
      </c>
    </row>
    <row r="35" spans="1:8" x14ac:dyDescent="0.15">
      <c r="A35" s="26">
        <v>26</v>
      </c>
      <c r="B35" s="27">
        <f t="shared" si="0"/>
        <v>1.3149718642705173</v>
      </c>
      <c r="C35" s="27">
        <f t="shared" si="1"/>
        <v>1.7056179197592738</v>
      </c>
      <c r="D35" s="27">
        <f t="shared" si="2"/>
        <v>2.0555294386428731</v>
      </c>
      <c r="E35" s="27">
        <f t="shared" si="3"/>
        <v>2.4786298235912425</v>
      </c>
      <c r="F35" s="27">
        <f t="shared" si="4"/>
        <v>2.7787145333296839</v>
      </c>
      <c r="G35" s="27">
        <f t="shared" si="5"/>
        <v>3.4349971815631162</v>
      </c>
      <c r="H35" s="27">
        <f t="shared" si="6"/>
        <v>3.7066117434809116</v>
      </c>
    </row>
    <row r="36" spans="1:8" x14ac:dyDescent="0.15">
      <c r="A36" s="26">
        <v>27</v>
      </c>
      <c r="B36" s="27">
        <f t="shared" si="0"/>
        <v>1.3137029128292739</v>
      </c>
      <c r="C36" s="27">
        <f t="shared" si="1"/>
        <v>1.7032884457221271</v>
      </c>
      <c r="D36" s="27">
        <f t="shared" si="2"/>
        <v>2.0518305164802859</v>
      </c>
      <c r="E36" s="27">
        <f t="shared" si="3"/>
        <v>2.4726599119560069</v>
      </c>
      <c r="F36" s="27">
        <f t="shared" si="4"/>
        <v>2.770682957122212</v>
      </c>
      <c r="G36" s="27">
        <f t="shared" si="5"/>
        <v>3.4210336212293058</v>
      </c>
      <c r="H36" s="27">
        <f t="shared" si="6"/>
        <v>3.6895917134592362</v>
      </c>
    </row>
    <row r="37" spans="1:8" x14ac:dyDescent="0.15">
      <c r="A37" s="26">
        <v>28</v>
      </c>
      <c r="B37" s="27">
        <f t="shared" si="0"/>
        <v>1.3125267815926682</v>
      </c>
      <c r="C37" s="27">
        <f t="shared" si="1"/>
        <v>1.7011309342659326</v>
      </c>
      <c r="D37" s="27">
        <f t="shared" si="2"/>
        <v>2.0484071417952445</v>
      </c>
      <c r="E37" s="27">
        <f t="shared" si="3"/>
        <v>2.467140097967472</v>
      </c>
      <c r="F37" s="27">
        <f t="shared" si="4"/>
        <v>2.7632624554614447</v>
      </c>
      <c r="G37" s="27">
        <f t="shared" si="5"/>
        <v>3.4081551783533595</v>
      </c>
      <c r="H37" s="27">
        <f t="shared" si="6"/>
        <v>3.6739064007012763</v>
      </c>
    </row>
    <row r="38" spans="1:8" x14ac:dyDescent="0.15">
      <c r="A38" s="26">
        <v>29</v>
      </c>
      <c r="B38" s="27">
        <f t="shared" si="0"/>
        <v>1.3114336473015527</v>
      </c>
      <c r="C38" s="27">
        <f t="shared" si="1"/>
        <v>1.6991270265334986</v>
      </c>
      <c r="D38" s="27">
        <f t="shared" si="2"/>
        <v>2.0452296421327048</v>
      </c>
      <c r="E38" s="27">
        <f t="shared" si="3"/>
        <v>2.4620213601504126</v>
      </c>
      <c r="F38" s="27">
        <f t="shared" si="4"/>
        <v>2.7563859036706049</v>
      </c>
      <c r="G38" s="27">
        <f t="shared" si="5"/>
        <v>3.3962402883568026</v>
      </c>
      <c r="H38" s="27">
        <f t="shared" si="6"/>
        <v>3.659405019466333</v>
      </c>
    </row>
    <row r="39" spans="1:8" x14ac:dyDescent="0.15">
      <c r="A39" s="26">
        <v>30</v>
      </c>
      <c r="B39" s="27">
        <f t="shared" si="0"/>
        <v>1.3104150253913947</v>
      </c>
      <c r="C39" s="27">
        <f t="shared" si="1"/>
        <v>1.6972608865939587</v>
      </c>
      <c r="D39" s="27">
        <f t="shared" si="2"/>
        <v>2.0422724563012378</v>
      </c>
      <c r="E39" s="27">
        <f t="shared" si="3"/>
        <v>2.4572615424005915</v>
      </c>
      <c r="F39" s="27">
        <f t="shared" si="4"/>
        <v>2.7499956535672259</v>
      </c>
      <c r="G39" s="27">
        <f t="shared" si="5"/>
        <v>3.385184866829305</v>
      </c>
      <c r="H39" s="27">
        <f t="shared" si="6"/>
        <v>3.6459586350420214</v>
      </c>
    </row>
    <row r="40" spans="1:8" x14ac:dyDescent="0.15">
      <c r="A40" s="26">
        <v>31</v>
      </c>
      <c r="B40" s="27">
        <f t="shared" si="0"/>
        <v>1.3094635494946458</v>
      </c>
      <c r="C40" s="27">
        <f t="shared" si="1"/>
        <v>1.6955187825458664</v>
      </c>
      <c r="D40" s="27">
        <f t="shared" si="2"/>
        <v>2.0395134463964082</v>
      </c>
      <c r="E40" s="27">
        <f t="shared" si="3"/>
        <v>2.4528241934026456</v>
      </c>
      <c r="F40" s="27">
        <f t="shared" si="4"/>
        <v>2.7440419192942698</v>
      </c>
      <c r="G40" s="27">
        <f t="shared" si="5"/>
        <v>3.3748992804233033</v>
      </c>
      <c r="H40" s="27">
        <f t="shared" si="6"/>
        <v>3.633456349758331</v>
      </c>
    </row>
    <row r="41" spans="1:8" x14ac:dyDescent="0.15">
      <c r="A41" s="26">
        <v>32</v>
      </c>
      <c r="B41" s="27">
        <f t="shared" si="0"/>
        <v>1.3085727931295197</v>
      </c>
      <c r="C41" s="27">
        <f t="shared" si="1"/>
        <v>1.6938887483837093</v>
      </c>
      <c r="D41" s="27">
        <f t="shared" si="2"/>
        <v>2.0369333434601011</v>
      </c>
      <c r="E41" s="27">
        <f t="shared" si="3"/>
        <v>2.4486776336720522</v>
      </c>
      <c r="F41" s="27">
        <f t="shared" si="4"/>
        <v>2.7384814820121886</v>
      </c>
      <c r="G41" s="27">
        <f t="shared" si="5"/>
        <v>3.3653059258594324</v>
      </c>
      <c r="H41" s="27">
        <f t="shared" si="6"/>
        <v>3.6218022598674953</v>
      </c>
    </row>
    <row r="42" spans="1:8" x14ac:dyDescent="0.15">
      <c r="A42" s="26">
        <v>33</v>
      </c>
      <c r="B42" s="27">
        <f t="shared" ref="B42:B58" si="7">_xlfn.T.INV.2T($B$8*2,A42)</f>
        <v>1.3077371244508877</v>
      </c>
      <c r="C42" s="27">
        <f t="shared" ref="C42:C58" si="8">_xlfn.T.INV.2T($C$8*2,A42)</f>
        <v>1.6923603090303456</v>
      </c>
      <c r="D42" s="27">
        <f t="shared" ref="D42:D58" si="9">_xlfn.T.INV.2T($D$8*2,A42)</f>
        <v>2.0345152974493397</v>
      </c>
      <c r="E42" s="27">
        <f t="shared" ref="E42:E58" si="10">_xlfn.T.INV.2T($E$8*2,A42)</f>
        <v>2.4447941998078058</v>
      </c>
      <c r="F42" s="27">
        <f t="shared" ref="F42:F58" si="11">_xlfn.T.INV.2T($F$8*2,A42)</f>
        <v>2.733276642350837</v>
      </c>
      <c r="G42" s="27">
        <f t="shared" ref="G42:G58" si="12">_xlfn.T.INV.2T($G$8*2,A42)</f>
        <v>3.3563372793636281</v>
      </c>
      <c r="H42" s="27">
        <f t="shared" ref="H42:H58" si="13">_xlfn.T.INV.2T($H$8*2,A42)</f>
        <v>3.6109130076544274</v>
      </c>
    </row>
    <row r="43" spans="1:8" x14ac:dyDescent="0.15">
      <c r="A43" s="26">
        <v>34</v>
      </c>
      <c r="B43" s="27">
        <f t="shared" si="7"/>
        <v>1.3069515871264279</v>
      </c>
      <c r="C43" s="27">
        <f t="shared" si="8"/>
        <v>1.6909242551868542</v>
      </c>
      <c r="D43" s="27">
        <f t="shared" si="9"/>
        <v>2.0322445093177191</v>
      </c>
      <c r="E43" s="27">
        <f t="shared" si="10"/>
        <v>2.4411496279064839</v>
      </c>
      <c r="F43" s="27">
        <f t="shared" si="11"/>
        <v>2.7283943670707203</v>
      </c>
      <c r="G43" s="27">
        <f t="shared" si="12"/>
        <v>3.3479343133335262</v>
      </c>
      <c r="H43" s="27">
        <f t="shared" si="13"/>
        <v>3.6007157973864077</v>
      </c>
    </row>
    <row r="44" spans="1:8" x14ac:dyDescent="0.15">
      <c r="A44" s="26">
        <v>35</v>
      </c>
      <c r="B44" s="27">
        <f t="shared" si="7"/>
        <v>1.3062118020160358</v>
      </c>
      <c r="C44" s="27">
        <f t="shared" si="8"/>
        <v>1.6895724577802647</v>
      </c>
      <c r="D44" s="27">
        <f t="shared" si="9"/>
        <v>2.0301079282503438</v>
      </c>
      <c r="E44" s="27">
        <f t="shared" si="10"/>
        <v>2.4377225471437423</v>
      </c>
      <c r="F44" s="27">
        <f t="shared" si="11"/>
        <v>2.7238055892080912</v>
      </c>
      <c r="G44" s="27">
        <f t="shared" si="12"/>
        <v>3.3400452020985849</v>
      </c>
      <c r="H44" s="27">
        <f t="shared" si="13"/>
        <v>3.5911467758107785</v>
      </c>
    </row>
    <row r="45" spans="1:8" x14ac:dyDescent="0.15">
      <c r="A45" s="26">
        <v>36</v>
      </c>
      <c r="B45" s="27">
        <f t="shared" si="7"/>
        <v>1.3055138855362491</v>
      </c>
      <c r="C45" s="27">
        <f t="shared" si="8"/>
        <v>1.6882977141168172</v>
      </c>
      <c r="D45" s="27">
        <f t="shared" si="9"/>
        <v>2.028094000980452</v>
      </c>
      <c r="E45" s="27">
        <f t="shared" si="10"/>
        <v>2.4344940612311401</v>
      </c>
      <c r="F45" s="27">
        <f t="shared" si="11"/>
        <v>2.7194846304500082</v>
      </c>
      <c r="G45" s="27">
        <f t="shared" si="12"/>
        <v>3.3326242570625007</v>
      </c>
      <c r="H45" s="27">
        <f t="shared" si="13"/>
        <v>3.5821497014563373</v>
      </c>
    </row>
    <row r="46" spans="1:8" x14ac:dyDescent="0.15">
      <c r="A46" s="26">
        <v>37</v>
      </c>
      <c r="B46" s="27">
        <f t="shared" si="7"/>
        <v>1.3048543814976252</v>
      </c>
      <c r="C46" s="27">
        <f t="shared" si="8"/>
        <v>1.6870936195962629</v>
      </c>
      <c r="D46" s="27">
        <f t="shared" si="9"/>
        <v>2.026192463029111</v>
      </c>
      <c r="E46" s="27">
        <f t="shared" si="10"/>
        <v>2.4314474004646742</v>
      </c>
      <c r="F46" s="27">
        <f t="shared" si="11"/>
        <v>2.7154087215499887</v>
      </c>
      <c r="G46" s="27">
        <f t="shared" si="12"/>
        <v>3.3256310451969409</v>
      </c>
      <c r="H46" s="27">
        <f t="shared" si="13"/>
        <v>3.5736748444452058</v>
      </c>
    </row>
    <row r="47" spans="1:8" x14ac:dyDescent="0.15">
      <c r="A47" s="26">
        <v>38</v>
      </c>
      <c r="B47" s="27">
        <f t="shared" si="7"/>
        <v>1.3042302038905009</v>
      </c>
      <c r="C47" s="27">
        <f t="shared" si="8"/>
        <v>1.6859544601667387</v>
      </c>
      <c r="D47" s="27">
        <f t="shared" si="9"/>
        <v>2.0243941639119702</v>
      </c>
      <c r="E47" s="27">
        <f t="shared" si="10"/>
        <v>2.4285676308590882</v>
      </c>
      <c r="F47" s="27">
        <f t="shared" si="11"/>
        <v>2.711557601913082</v>
      </c>
      <c r="G47" s="27">
        <f t="shared" si="12"/>
        <v>3.3190296551103571</v>
      </c>
      <c r="H47" s="27">
        <f t="shared" si="13"/>
        <v>3.5656780715802339</v>
      </c>
    </row>
    <row r="48" spans="1:8" x14ac:dyDescent="0.15">
      <c r="A48" s="26">
        <v>39</v>
      </c>
      <c r="B48" s="27">
        <f t="shared" si="7"/>
        <v>1.3036385886212738</v>
      </c>
      <c r="C48" s="27">
        <f t="shared" si="8"/>
        <v>1.6848751217112248</v>
      </c>
      <c r="D48" s="27">
        <f t="shared" si="9"/>
        <v>2.0226909200367595</v>
      </c>
      <c r="E48" s="27">
        <f t="shared" si="10"/>
        <v>2.4258414097356304</v>
      </c>
      <c r="F48" s="27">
        <f t="shared" si="11"/>
        <v>2.7079131835176615</v>
      </c>
      <c r="G48" s="27">
        <f t="shared" si="12"/>
        <v>3.3127880826719012</v>
      </c>
      <c r="H48" s="27">
        <f t="shared" si="13"/>
        <v>3.5581200813327323</v>
      </c>
    </row>
    <row r="49" spans="1:8" x14ac:dyDescent="0.15">
      <c r="A49" s="26">
        <v>40</v>
      </c>
      <c r="B49" s="27">
        <f t="shared" si="7"/>
        <v>1.3030770526071962</v>
      </c>
      <c r="C49" s="27">
        <f t="shared" si="8"/>
        <v>1.6838510133356521</v>
      </c>
      <c r="D49" s="27">
        <f t="shared" si="9"/>
        <v>2.0210753903062737</v>
      </c>
      <c r="E49" s="27">
        <f t="shared" si="10"/>
        <v>2.4232567793348583</v>
      </c>
      <c r="F49" s="27">
        <f t="shared" si="11"/>
        <v>2.7044592674331631</v>
      </c>
      <c r="G49" s="27">
        <f t="shared" si="12"/>
        <v>3.3068777140858225</v>
      </c>
      <c r="H49" s="27">
        <f t="shared" si="13"/>
        <v>3.5509657608633112</v>
      </c>
    </row>
    <row r="50" spans="1:8" x14ac:dyDescent="0.15">
      <c r="A50" s="26">
        <v>45</v>
      </c>
      <c r="B50" s="27">
        <f t="shared" si="7"/>
        <v>1.3006493322502373</v>
      </c>
      <c r="C50" s="27">
        <f t="shared" si="8"/>
        <v>1.6794273926523535</v>
      </c>
      <c r="D50" s="27">
        <f t="shared" si="9"/>
        <v>2.0141033888808457</v>
      </c>
      <c r="E50" s="27">
        <f t="shared" si="10"/>
        <v>2.4121158757033583</v>
      </c>
      <c r="F50" s="27">
        <f t="shared" si="11"/>
        <v>2.6895850193746429</v>
      </c>
      <c r="G50" s="27">
        <f t="shared" si="12"/>
        <v>3.2814798482316827</v>
      </c>
      <c r="H50" s="27">
        <f t="shared" si="13"/>
        <v>3.5202514649710976</v>
      </c>
    </row>
    <row r="51" spans="1:8" x14ac:dyDescent="0.15">
      <c r="A51" s="26">
        <v>50</v>
      </c>
      <c r="B51" s="27">
        <f t="shared" si="7"/>
        <v>1.2987136941948108</v>
      </c>
      <c r="C51" s="27">
        <f t="shared" si="8"/>
        <v>1.6759050251630967</v>
      </c>
      <c r="D51" s="27">
        <f t="shared" si="9"/>
        <v>2.0085591121007611</v>
      </c>
      <c r="E51" s="27">
        <f t="shared" si="10"/>
        <v>2.4032719166741709</v>
      </c>
      <c r="F51" s="27">
        <f t="shared" si="11"/>
        <v>2.6777932709408443</v>
      </c>
      <c r="G51" s="27">
        <f t="shared" si="12"/>
        <v>3.261409055798318</v>
      </c>
      <c r="H51" s="27">
        <f t="shared" si="13"/>
        <v>3.4960128818111396</v>
      </c>
    </row>
    <row r="52" spans="1:8" x14ac:dyDescent="0.15">
      <c r="A52" s="26">
        <v>60</v>
      </c>
      <c r="B52" s="27">
        <f t="shared" si="7"/>
        <v>1.2958210935157342</v>
      </c>
      <c r="C52" s="27">
        <f t="shared" si="8"/>
        <v>1.6706488649046354</v>
      </c>
      <c r="D52" s="27">
        <f t="shared" si="9"/>
        <v>2.0002978220142609</v>
      </c>
      <c r="E52" s="27">
        <f t="shared" si="10"/>
        <v>2.3901194726249129</v>
      </c>
      <c r="F52" s="27">
        <f t="shared" si="11"/>
        <v>2.6602830288550381</v>
      </c>
      <c r="G52" s="27">
        <f t="shared" si="12"/>
        <v>3.2317091260243584</v>
      </c>
      <c r="H52" s="27">
        <f t="shared" si="13"/>
        <v>3.4602004691963555</v>
      </c>
    </row>
    <row r="53" spans="1:8" x14ac:dyDescent="0.15">
      <c r="A53" s="26">
        <v>70</v>
      </c>
      <c r="B53" s="27">
        <f t="shared" si="7"/>
        <v>1.2937628979376541</v>
      </c>
      <c r="C53" s="27">
        <f t="shared" si="8"/>
        <v>1.6669144790559576</v>
      </c>
      <c r="D53" s="27">
        <f t="shared" si="9"/>
        <v>1.9944371117711854</v>
      </c>
      <c r="E53" s="27">
        <f t="shared" si="10"/>
        <v>2.3808074822914329</v>
      </c>
      <c r="F53" s="27">
        <f t="shared" si="11"/>
        <v>2.6479046237511512</v>
      </c>
      <c r="G53" s="27">
        <f t="shared" si="12"/>
        <v>3.21078906096783</v>
      </c>
      <c r="H53" s="27">
        <f t="shared" si="13"/>
        <v>3.4350145214208152</v>
      </c>
    </row>
    <row r="54" spans="1:8" x14ac:dyDescent="0.15">
      <c r="A54" s="26">
        <v>80</v>
      </c>
      <c r="B54" s="27">
        <f t="shared" si="7"/>
        <v>1.2922235830591293</v>
      </c>
      <c r="C54" s="27">
        <f t="shared" si="8"/>
        <v>1.6641245785896708</v>
      </c>
      <c r="D54" s="27">
        <f t="shared" si="9"/>
        <v>1.9900634212544475</v>
      </c>
      <c r="E54" s="27">
        <f t="shared" si="10"/>
        <v>2.3738682729673433</v>
      </c>
      <c r="F54" s="27">
        <f t="shared" si="11"/>
        <v>2.6386905963441825</v>
      </c>
      <c r="G54" s="27">
        <f t="shared" si="12"/>
        <v>3.195257690290743</v>
      </c>
      <c r="H54" s="27">
        <f t="shared" si="13"/>
        <v>3.4163374584769461</v>
      </c>
    </row>
    <row r="55" spans="1:8" x14ac:dyDescent="0.15">
      <c r="A55" s="26">
        <v>90</v>
      </c>
      <c r="B55" s="27">
        <f t="shared" si="7"/>
        <v>1.2910288987408942</v>
      </c>
      <c r="C55" s="27">
        <f t="shared" si="8"/>
        <v>1.661961084030164</v>
      </c>
      <c r="D55" s="27">
        <f t="shared" si="9"/>
        <v>1.986674540703772</v>
      </c>
      <c r="E55" s="27">
        <f t="shared" si="10"/>
        <v>2.3684974762391677</v>
      </c>
      <c r="F55" s="27">
        <f t="shared" si="11"/>
        <v>2.6315651655871597</v>
      </c>
      <c r="G55" s="27">
        <f t="shared" si="12"/>
        <v>3.1832708140535444</v>
      </c>
      <c r="H55" s="27">
        <f t="shared" si="13"/>
        <v>3.4019353068602105</v>
      </c>
    </row>
    <row r="56" spans="1:8" x14ac:dyDescent="0.15">
      <c r="A56" s="26">
        <v>100</v>
      </c>
      <c r="B56" s="27">
        <f t="shared" si="7"/>
        <v>1.2900747613465169</v>
      </c>
      <c r="C56" s="27">
        <f t="shared" si="8"/>
        <v>1.6602343260853425</v>
      </c>
      <c r="D56" s="27">
        <f t="shared" si="9"/>
        <v>1.9839715185235556</v>
      </c>
      <c r="E56" s="27">
        <f t="shared" si="10"/>
        <v>2.3642173662384813</v>
      </c>
      <c r="F56" s="27">
        <f t="shared" si="11"/>
        <v>2.6258905214380182</v>
      </c>
      <c r="G56" s="27">
        <f t="shared" si="12"/>
        <v>3.1737394937387822</v>
      </c>
      <c r="H56" s="27">
        <f t="shared" si="13"/>
        <v>3.3904913111642285</v>
      </c>
    </row>
    <row r="57" spans="1:8" x14ac:dyDescent="0.15">
      <c r="A57" s="26">
        <v>120</v>
      </c>
      <c r="B57" s="27">
        <f t="shared" si="7"/>
        <v>1.2886462336563809</v>
      </c>
      <c r="C57" s="27">
        <f t="shared" si="8"/>
        <v>1.6576508993552355</v>
      </c>
      <c r="D57" s="27">
        <f t="shared" si="9"/>
        <v>1.9799304050824413</v>
      </c>
      <c r="E57" s="27">
        <f t="shared" si="10"/>
        <v>2.3578246126487556</v>
      </c>
      <c r="F57" s="27">
        <f t="shared" si="11"/>
        <v>2.617421145106865</v>
      </c>
      <c r="G57" s="27">
        <f t="shared" si="12"/>
        <v>3.15953874331711</v>
      </c>
      <c r="H57" s="27">
        <f t="shared" si="13"/>
        <v>3.3734537685625003</v>
      </c>
    </row>
    <row r="58" spans="1:8" x14ac:dyDescent="0.15">
      <c r="A58" s="26">
        <v>150</v>
      </c>
      <c r="B58" s="27">
        <f t="shared" si="7"/>
        <v>1.2872209136149522</v>
      </c>
      <c r="C58" s="27">
        <f t="shared" si="8"/>
        <v>1.6550755001871769</v>
      </c>
      <c r="D58" s="27">
        <f t="shared" si="9"/>
        <v>1.9759053308966197</v>
      </c>
      <c r="E58" s="27">
        <f t="shared" si="10"/>
        <v>2.3514645817783082</v>
      </c>
      <c r="F58" s="27">
        <f t="shared" si="11"/>
        <v>2.6090025658655387</v>
      </c>
      <c r="G58" s="27">
        <f t="shared" si="12"/>
        <v>3.1454525319823552</v>
      </c>
      <c r="H58" s="27">
        <f t="shared" si="13"/>
        <v>3.3565689817424422</v>
      </c>
    </row>
    <row r="59" spans="1:8" ht="15.75" customHeight="1" x14ac:dyDescent="0.15">
      <c r="A59" s="75" t="s">
        <v>146</v>
      </c>
      <c r="B59" s="76">
        <f>_xlfn.T.INV.2T(B8*2,100000)</f>
        <v>1.2815600314455411</v>
      </c>
      <c r="C59" s="76">
        <f>_xlfn.T.INV.2T(C8*2,100000)</f>
        <v>1.6448688647824115</v>
      </c>
      <c r="D59" s="76">
        <f>_xlfn.T.INV.2T(D8*2,100000)</f>
        <v>1.9599877075377699</v>
      </c>
      <c r="E59" s="76">
        <f>_xlfn.T.INV.2T(E8*2,1000000)</f>
        <v>2.326351603129531</v>
      </c>
      <c r="F59" s="76">
        <f>_xlfn.T.INV.2T(F8*2,100000)</f>
        <v>2.5758784699093904</v>
      </c>
      <c r="G59" s="76">
        <f>_xlfn.T.INV.2T(G8*2,100000)</f>
        <v>3.0903138094281259</v>
      </c>
      <c r="H59" s="76">
        <f>_xlfn.T.INV.2T(H8*2,100000)</f>
        <v>3.2906240314111059</v>
      </c>
    </row>
    <row r="60" spans="1:8" x14ac:dyDescent="0.15">
      <c r="A60" s="99" t="s">
        <v>0</v>
      </c>
    </row>
  </sheetData>
  <phoneticPr fontId="0" type="noConversion"/>
  <pageMargins left="0.7" right="0.7" top="0.52" bottom="0.54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25"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H48" sqref="H48"/>
    </sheetView>
  </sheetViews>
  <sheetFormatPr baseColWidth="10" defaultColWidth="8.83203125" defaultRowHeight="13" x14ac:dyDescent="0.15"/>
  <cols>
    <col min="1" max="11" width="7.5" customWidth="1"/>
  </cols>
  <sheetData>
    <row r="1" spans="1:11" ht="16" x14ac:dyDescent="0.2">
      <c r="A1" s="1" t="s">
        <v>4</v>
      </c>
    </row>
    <row r="2" spans="1:11" x14ac:dyDescent="0.15">
      <c r="A2" s="19"/>
    </row>
    <row r="3" spans="1:11" x14ac:dyDescent="0.15">
      <c r="A3" t="s">
        <v>88</v>
      </c>
    </row>
    <row r="4" spans="1:11" x14ac:dyDescent="0.15">
      <c r="A4" t="s">
        <v>144</v>
      </c>
    </row>
    <row r="5" spans="1:11" x14ac:dyDescent="0.15">
      <c r="A5" t="s">
        <v>89</v>
      </c>
    </row>
    <row r="7" spans="1:11" ht="14.25" customHeight="1" x14ac:dyDescent="0.15">
      <c r="A7" s="20" t="s">
        <v>65</v>
      </c>
      <c r="B7" s="21">
        <v>0</v>
      </c>
      <c r="C7" s="21">
        <v>0.01</v>
      </c>
      <c r="D7" s="21">
        <v>0.02</v>
      </c>
      <c r="E7" s="21">
        <v>0.03</v>
      </c>
      <c r="F7" s="21">
        <v>0.04</v>
      </c>
      <c r="G7" s="21">
        <v>0.05</v>
      </c>
      <c r="H7" s="21">
        <v>0.06</v>
      </c>
      <c r="I7" s="21">
        <v>7.0000000000000007E-2</v>
      </c>
      <c r="J7" s="21">
        <v>0.08</v>
      </c>
      <c r="K7" s="21">
        <v>0.09</v>
      </c>
    </row>
    <row r="8" spans="1:11" ht="14.25" customHeight="1" x14ac:dyDescent="0.15">
      <c r="A8" s="22">
        <v>0</v>
      </c>
      <c r="B8" s="18">
        <f>ABS(0.5-_xlfn.NORM.S.DIST($A$8+B7,TRUE))</f>
        <v>0</v>
      </c>
      <c r="C8" s="18">
        <f t="shared" ref="C8:J8" si="0">ABS(0.5-_xlfn.NORM.S.DIST($A$8+C7,TRUE))</f>
        <v>3.989356314631598E-3</v>
      </c>
      <c r="D8" s="18">
        <f t="shared" si="0"/>
        <v>7.9783137169020524E-3</v>
      </c>
      <c r="E8" s="18">
        <f t="shared" si="0"/>
        <v>1.1966473414112722E-2</v>
      </c>
      <c r="F8" s="18">
        <f t="shared" si="0"/>
        <v>1.5953436852830682E-2</v>
      </c>
      <c r="G8" s="18">
        <f t="shared" si="0"/>
        <v>1.9938805838372486E-2</v>
      </c>
      <c r="H8" s="18">
        <f t="shared" si="0"/>
        <v>2.3922182654106838E-2</v>
      </c>
      <c r="I8" s="18">
        <f t="shared" si="0"/>
        <v>2.7903170180521131E-2</v>
      </c>
      <c r="J8" s="18">
        <f t="shared" si="0"/>
        <v>3.1881372013987441E-2</v>
      </c>
      <c r="K8" s="18">
        <f>ABS(0.5-_xlfn.NORM.S.DIST($A$8+K7,TRUE))</f>
        <v>3.5856392585172037E-2</v>
      </c>
    </row>
    <row r="9" spans="1:11" ht="14.25" customHeight="1" x14ac:dyDescent="0.15">
      <c r="A9" s="23">
        <v>0.1</v>
      </c>
      <c r="B9" s="18">
        <f>ABS(0.5-_xlfn.NORM.S.DIST($A$9+B7,TRUE))</f>
        <v>3.9827837277028988E-2</v>
      </c>
      <c r="C9" s="18">
        <f t="shared" ref="C9:K9" si="1">ABS(0.5-_xlfn.NORM.S.DIST($A$9+C7,TRUE))</f>
        <v>4.3795312542316722E-2</v>
      </c>
      <c r="D9" s="18">
        <f t="shared" si="1"/>
        <v>4.7758426020583888E-2</v>
      </c>
      <c r="E9" s="18">
        <f t="shared" si="1"/>
        <v>5.1716786654561142E-2</v>
      </c>
      <c r="F9" s="18">
        <f t="shared" si="1"/>
        <v>5.5670004805906448E-2</v>
      </c>
      <c r="G9" s="18">
        <f t="shared" si="1"/>
        <v>5.9617692370242503E-2</v>
      </c>
      <c r="H9" s="18">
        <f t="shared" si="1"/>
        <v>6.3559462891432883E-2</v>
      </c>
      <c r="I9" s="18">
        <f t="shared" si="1"/>
        <v>6.7494931675038394E-2</v>
      </c>
      <c r="J9" s="18">
        <f t="shared" si="1"/>
        <v>7.1423715900900797E-2</v>
      </c>
      <c r="K9" s="18">
        <f t="shared" si="1"/>
        <v>7.5345434734795491E-2</v>
      </c>
    </row>
    <row r="10" spans="1:11" ht="14.25" customHeight="1" x14ac:dyDescent="0.15">
      <c r="A10" s="23">
        <v>0.2</v>
      </c>
      <c r="B10" s="18">
        <f t="shared" ref="B10:K10" si="2">ABS(0.5-_xlfn.NORM.S.DIST($A$10+B7,TRUE))</f>
        <v>7.9259709439102988E-2</v>
      </c>
      <c r="C10" s="18">
        <f t="shared" si="2"/>
        <v>8.3166163482442323E-2</v>
      </c>
      <c r="D10" s="18">
        <f t="shared" si="2"/>
        <v>8.7064422648214679E-2</v>
      </c>
      <c r="E10" s="18">
        <f t="shared" si="2"/>
        <v>9.0954115142005909E-2</v>
      </c>
      <c r="F10" s="18">
        <f t="shared" si="2"/>
        <v>9.4834871697795808E-2</v>
      </c>
      <c r="G10" s="18">
        <f t="shared" si="2"/>
        <v>9.8706325682923701E-2</v>
      </c>
      <c r="H10" s="18">
        <f t="shared" si="2"/>
        <v>0.10256811320176051</v>
      </c>
      <c r="I10" s="18">
        <f t="shared" si="2"/>
        <v>0.10641987319803947</v>
      </c>
      <c r="J10" s="18">
        <f t="shared" si="2"/>
        <v>0.11026124755579725</v>
      </c>
      <c r="K10" s="18">
        <f t="shared" si="2"/>
        <v>0.11409188119887737</v>
      </c>
    </row>
    <row r="11" spans="1:11" ht="14.25" customHeight="1" x14ac:dyDescent="0.15">
      <c r="A11" s="23">
        <v>0.3</v>
      </c>
      <c r="B11" s="18">
        <f>ABS(0.5-_xlfn.NORM.S.DIST($A$11+B7,TRUE))</f>
        <v>0.11791142218895267</v>
      </c>
      <c r="C11" s="18">
        <f t="shared" ref="C11:K11" si="3">ABS(0.5-_xlfn.NORM.S.DIST($A$11+C7,TRUE))</f>
        <v>0.12171952182201928</v>
      </c>
      <c r="D11" s="18">
        <f t="shared" si="3"/>
        <v>0.12551583472332006</v>
      </c>
      <c r="E11" s="18">
        <f t="shared" si="3"/>
        <v>0.12930001894065346</v>
      </c>
      <c r="F11" s="18">
        <f t="shared" si="3"/>
        <v>0.13307173603602807</v>
      </c>
      <c r="G11" s="18">
        <f t="shared" si="3"/>
        <v>0.1368306511756191</v>
      </c>
      <c r="H11" s="18">
        <f t="shared" si="3"/>
        <v>0.14057643321799129</v>
      </c>
      <c r="I11" s="18">
        <f t="shared" si="3"/>
        <v>0.14430875480054683</v>
      </c>
      <c r="J11" s="18">
        <f t="shared" si="3"/>
        <v>0.14802729242416279</v>
      </c>
      <c r="K11" s="18">
        <f t="shared" si="3"/>
        <v>0.15173172653598244</v>
      </c>
    </row>
    <row r="12" spans="1:11" ht="14.25" customHeight="1" x14ac:dyDescent="0.15">
      <c r="A12" s="23">
        <v>0.4</v>
      </c>
      <c r="B12" s="18">
        <f>ABS(0.5-_xlfn.NORM.S.DIST($A$12+B7,TRUE))</f>
        <v>0.15542174161032429</v>
      </c>
      <c r="C12" s="18">
        <f t="shared" ref="C12:K12" si="4">ABS(0.5-_xlfn.NORM.S.DIST($A$12+C7,TRUE))</f>
        <v>0.15909702622767741</v>
      </c>
      <c r="D12" s="18">
        <f t="shared" si="4"/>
        <v>0.16275727315175059</v>
      </c>
      <c r="E12" s="18">
        <f t="shared" si="4"/>
        <v>0.16640217940454238</v>
      </c>
      <c r="F12" s="18">
        <f t="shared" si="4"/>
        <v>0.17003144633940637</v>
      </c>
      <c r="G12" s="18">
        <f t="shared" si="4"/>
        <v>0.17364477971208003</v>
      </c>
      <c r="H12" s="18">
        <f t="shared" si="4"/>
        <v>0.17724188974965227</v>
      </c>
      <c r="I12" s="18">
        <f t="shared" si="4"/>
        <v>0.1808224912174442</v>
      </c>
      <c r="J12" s="18">
        <f t="shared" si="4"/>
        <v>0.18438630348377749</v>
      </c>
      <c r="K12" s="18">
        <f t="shared" si="4"/>
        <v>0.18793305058260945</v>
      </c>
    </row>
    <row r="13" spans="1:11" ht="14.25" customHeight="1" x14ac:dyDescent="0.15">
      <c r="A13" s="23">
        <v>0.5</v>
      </c>
      <c r="B13" s="18">
        <f>ABS(0.5-_xlfn.NORM.S.DIST($A$13+B7,TRUE))</f>
        <v>0.19146246127401312</v>
      </c>
      <c r="C13" s="18">
        <f t="shared" ref="C13:K13" si="5">ABS(0.5-_xlfn.NORM.S.DIST($A$13+C7,TRUE))</f>
        <v>0.19497426910248061</v>
      </c>
      <c r="D13" s="18">
        <f t="shared" si="5"/>
        <v>0.19846821245303381</v>
      </c>
      <c r="E13" s="18">
        <f t="shared" si="5"/>
        <v>0.20194403460512356</v>
      </c>
      <c r="F13" s="18">
        <f t="shared" si="5"/>
        <v>0.20540148378430201</v>
      </c>
      <c r="G13" s="18">
        <f t="shared" si="5"/>
        <v>0.20884031321165364</v>
      </c>
      <c r="H13" s="18">
        <f t="shared" si="5"/>
        <v>0.21226028115097295</v>
      </c>
      <c r="I13" s="18">
        <f t="shared" si="5"/>
        <v>0.21566115095367588</v>
      </c>
      <c r="J13" s="18">
        <f t="shared" si="5"/>
        <v>0.2190426911014357</v>
      </c>
      <c r="K13" s="18">
        <f t="shared" si="5"/>
        <v>0.22240467524653507</v>
      </c>
    </row>
    <row r="14" spans="1:11" ht="14.25" customHeight="1" x14ac:dyDescent="0.15">
      <c r="A14" s="23">
        <v>0.6</v>
      </c>
      <c r="B14" s="18">
        <f>ABS(0.5-_xlfn.NORM.S.DIST($A$14+B7,TRUE))</f>
        <v>0.22574688224992645</v>
      </c>
      <c r="C14" s="18">
        <f t="shared" ref="C14:K14" si="6">ABS(0.5-_xlfn.NORM.S.DIST($A$14+C7,TRUE))</f>
        <v>0.22906909621699434</v>
      </c>
      <c r="D14" s="18">
        <f t="shared" si="6"/>
        <v>0.232371106531017</v>
      </c>
      <c r="E14" s="18">
        <f t="shared" si="6"/>
        <v>0.23565270788432247</v>
      </c>
      <c r="F14" s="18">
        <f t="shared" si="6"/>
        <v>0.23891370030713843</v>
      </c>
      <c r="G14" s="18">
        <f t="shared" si="6"/>
        <v>0.24215388919413527</v>
      </c>
      <c r="H14" s="18">
        <f t="shared" si="6"/>
        <v>0.24537308532866386</v>
      </c>
      <c r="I14" s="18">
        <f t="shared" si="6"/>
        <v>0.24857110490468992</v>
      </c>
      <c r="J14" s="18">
        <f t="shared" si="6"/>
        <v>0.25174776954642952</v>
      </c>
      <c r="K14" s="18">
        <f t="shared" si="6"/>
        <v>0.25490290632569057</v>
      </c>
    </row>
    <row r="15" spans="1:11" ht="14.25" customHeight="1" x14ac:dyDescent="0.15">
      <c r="A15" s="23">
        <v>0.7</v>
      </c>
      <c r="B15" s="18">
        <f>ABS(0.5-_xlfn.NORM.S.DIST($A$15+B7,TRUE))</f>
        <v>0.25803634777692697</v>
      </c>
      <c r="C15" s="18">
        <f t="shared" ref="C15:K15" si="7">ABS(0.5-_xlfn.NORM.S.DIST($A$15+C7,TRUE))</f>
        <v>0.26114793191001329</v>
      </c>
      <c r="D15" s="18">
        <f t="shared" si="7"/>
        <v>0.26423750222074882</v>
      </c>
      <c r="E15" s="18">
        <f t="shared" si="7"/>
        <v>0.26730490769910253</v>
      </c>
      <c r="F15" s="18">
        <f t="shared" si="7"/>
        <v>0.27035000283520938</v>
      </c>
      <c r="G15" s="18">
        <f t="shared" si="7"/>
        <v>0.27337264762313174</v>
      </c>
      <c r="H15" s="18">
        <f t="shared" si="7"/>
        <v>0.27637270756240062</v>
      </c>
      <c r="I15" s="18">
        <f t="shared" si="7"/>
        <v>0.27935005365735044</v>
      </c>
      <c r="J15" s="18">
        <f t="shared" si="7"/>
        <v>0.28230456241426682</v>
      </c>
      <c r="K15" s="18">
        <f t="shared" si="7"/>
        <v>0.28523611583636277</v>
      </c>
    </row>
    <row r="16" spans="1:11" ht="14.25" customHeight="1" x14ac:dyDescent="0.15">
      <c r="A16" s="23">
        <v>0.8</v>
      </c>
      <c r="B16" s="18">
        <f>ABS(0.5-_xlfn.NORM.S.DIST($A$16+B7,TRUE))</f>
        <v>0.28814460141660336</v>
      </c>
      <c r="C16" s="18">
        <f t="shared" ref="C16:K16" si="8">ABS(0.5-_xlfn.NORM.S.DIST($A$16+C7,TRUE))</f>
        <v>0.29102991212839835</v>
      </c>
      <c r="D16" s="18">
        <f t="shared" si="8"/>
        <v>0.29389194641418692</v>
      </c>
      <c r="E16" s="18">
        <f t="shared" si="8"/>
        <v>0.29673060817193164</v>
      </c>
      <c r="F16" s="18">
        <f t="shared" si="8"/>
        <v>0.29954580673955034</v>
      </c>
      <c r="G16" s="18">
        <f t="shared" si="8"/>
        <v>0.30233745687730762</v>
      </c>
      <c r="H16" s="18">
        <f t="shared" si="8"/>
        <v>0.30510547874819172</v>
      </c>
      <c r="I16" s="18">
        <f t="shared" si="8"/>
        <v>0.30784979789630385</v>
      </c>
      <c r="J16" s="18">
        <f t="shared" si="8"/>
        <v>0.31057034522328786</v>
      </c>
      <c r="K16" s="18">
        <f t="shared" si="8"/>
        <v>0.31326705696282742</v>
      </c>
    </row>
    <row r="17" spans="1:11" ht="14.25" customHeight="1" x14ac:dyDescent="0.15">
      <c r="A17" s="23">
        <v>0.9</v>
      </c>
      <c r="B17" s="18">
        <f>ABS(0.5-_xlfn.NORM.S.DIST($A$17+B7,TRUE))</f>
        <v>0.31593987465324047</v>
      </c>
      <c r="C17" s="18">
        <f t="shared" ref="C17:K17" si="9">ABS(0.5-_xlfn.NORM.S.DIST($A$17+C7,TRUE))</f>
        <v>0.31858874510820279</v>
      </c>
      <c r="D17" s="18">
        <f t="shared" si="9"/>
        <v>0.32121362038562828</v>
      </c>
      <c r="E17" s="18">
        <f t="shared" si="9"/>
        <v>0.32381445775474216</v>
      </c>
      <c r="F17" s="18">
        <f t="shared" si="9"/>
        <v>0.32639121966137552</v>
      </c>
      <c r="G17" s="18">
        <f t="shared" si="9"/>
        <v>0.32894387369151823</v>
      </c>
      <c r="H17" s="18">
        <f t="shared" si="9"/>
        <v>0.33147239253316219</v>
      </c>
      <c r="I17" s="18">
        <f t="shared" si="9"/>
        <v>0.33397675393647042</v>
      </c>
      <c r="J17" s="18">
        <f t="shared" si="9"/>
        <v>0.33645694067230769</v>
      </c>
      <c r="K17" s="18">
        <f t="shared" si="9"/>
        <v>0.33891294048916909</v>
      </c>
    </row>
    <row r="18" spans="1:11" ht="14.25" customHeight="1" x14ac:dyDescent="0.15">
      <c r="A18" s="23">
        <v>1</v>
      </c>
      <c r="B18" s="18">
        <f>ABS(0.5-_xlfn.NORM.S.DIST($A$18+B7,TRUE))</f>
        <v>0.34134474606854304</v>
      </c>
      <c r="C18" s="18">
        <f t="shared" ref="C18:K18" si="10">ABS(0.5-_xlfn.NORM.S.DIST($A$18+C7,TRUE))</f>
        <v>0.34375235497874546</v>
      </c>
      <c r="D18" s="18">
        <f t="shared" si="10"/>
        <v>0.34613576962726511</v>
      </c>
      <c r="E18" s="18">
        <f t="shared" si="10"/>
        <v>0.34849499721165633</v>
      </c>
      <c r="F18" s="18">
        <f t="shared" si="10"/>
        <v>0.35083004966901865</v>
      </c>
      <c r="G18" s="18">
        <f t="shared" si="10"/>
        <v>0.35314094362410409</v>
      </c>
      <c r="H18" s="18">
        <f t="shared" si="10"/>
        <v>0.35542770033609039</v>
      </c>
      <c r="I18" s="18">
        <f t="shared" si="10"/>
        <v>0.35769034564406077</v>
      </c>
      <c r="J18" s="18">
        <f t="shared" si="10"/>
        <v>0.35992890991123094</v>
      </c>
      <c r="K18" s="18">
        <f t="shared" si="10"/>
        <v>0.3621434279679645</v>
      </c>
    </row>
    <row r="19" spans="1:11" ht="14.25" customHeight="1" x14ac:dyDescent="0.15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ht="14.25" customHeight="1" x14ac:dyDescent="0.15">
      <c r="A20" s="23">
        <v>1.1000000000000001</v>
      </c>
      <c r="B20" s="18">
        <f>ABS(0.5-_xlfn.NORM.S.DIST($A$20+B7,TRUE))</f>
        <v>0.36433393905361733</v>
      </c>
      <c r="C20" s="18">
        <f t="shared" ref="C20:K20" si="11">ABS(0.5-_xlfn.NORM.S.DIST($A$20+C7,TRUE))</f>
        <v>0.36650048675725277</v>
      </c>
      <c r="D20" s="18">
        <f t="shared" si="11"/>
        <v>0.36864311895726931</v>
      </c>
      <c r="E20" s="18">
        <f t="shared" si="11"/>
        <v>0.3707618877599822</v>
      </c>
      <c r="F20" s="18">
        <f t="shared" si="11"/>
        <v>0.37285684943720176</v>
      </c>
      <c r="G20" s="18">
        <f t="shared" si="11"/>
        <v>0.37492806436284987</v>
      </c>
      <c r="H20" s="18">
        <f t="shared" si="11"/>
        <v>0.37697559694865668</v>
      </c>
      <c r="I20" s="18">
        <f t="shared" si="11"/>
        <v>0.37899951557898182</v>
      </c>
      <c r="J20" s="18">
        <f t="shared" si="11"/>
        <v>0.38099989254479938</v>
      </c>
      <c r="K20" s="18">
        <f t="shared" si="11"/>
        <v>0.38297680397689127</v>
      </c>
    </row>
    <row r="21" spans="1:11" ht="14.25" customHeight="1" x14ac:dyDescent="0.15">
      <c r="A21" s="23">
        <v>1.2</v>
      </c>
      <c r="B21" s="18">
        <f>ABS(0.5-_xlfn.NORM.S.DIST($A$21+B7,TRUE))</f>
        <v>0.38493032977829178</v>
      </c>
      <c r="C21" s="18">
        <f t="shared" ref="C21:K21" si="12">ABS(0.5-_xlfn.NORM.S.DIST($A$21+C7,TRUE))</f>
        <v>0.38686055355602278</v>
      </c>
      <c r="D21" s="18">
        <f t="shared" si="12"/>
        <v>0.38876756255216538</v>
      </c>
      <c r="E21" s="18">
        <f t="shared" si="12"/>
        <v>0.39065144757430814</v>
      </c>
      <c r="F21" s="18">
        <f t="shared" si="12"/>
        <v>0.39251230292541306</v>
      </c>
      <c r="G21" s="18">
        <f t="shared" si="12"/>
        <v>0.39435022633314476</v>
      </c>
      <c r="H21" s="18">
        <f t="shared" si="12"/>
        <v>0.39616531887869966</v>
      </c>
      <c r="I21" s="18">
        <f t="shared" si="12"/>
        <v>0.39795768492518091</v>
      </c>
      <c r="J21" s="18">
        <f t="shared" si="12"/>
        <v>0.39972743204555794</v>
      </c>
      <c r="K21" s="18">
        <f t="shared" si="12"/>
        <v>0.40147467095025213</v>
      </c>
    </row>
    <row r="22" spans="1:11" ht="14.25" customHeight="1" x14ac:dyDescent="0.15">
      <c r="A22" s="23">
        <v>1.3</v>
      </c>
      <c r="B22" s="18">
        <f>ABS(0.5-_xlfn.NORM.S.DIST($A$22+B7,TRUE))</f>
        <v>0.4031995154143897</v>
      </c>
      <c r="C22" s="18">
        <f t="shared" ref="C22:K22" si="13">ABS(0.5-_xlfn.NORM.S.DIST($A$22+C7,TRUE))</f>
        <v>0.40490208220476098</v>
      </c>
      <c r="D22" s="18">
        <f t="shared" si="13"/>
        <v>0.40658249100652821</v>
      </c>
      <c r="E22" s="18">
        <f t="shared" si="13"/>
        <v>0.40824086434971918</v>
      </c>
      <c r="F22" s="18">
        <f t="shared" si="13"/>
        <v>0.40987732753554751</v>
      </c>
      <c r="G22" s="18">
        <f t="shared" si="13"/>
        <v>0.41149200856259804</v>
      </c>
      <c r="H22" s="18">
        <f t="shared" si="13"/>
        <v>0.41308503805291497</v>
      </c>
      <c r="I22" s="18">
        <f t="shared" si="13"/>
        <v>0.41465654917803307</v>
      </c>
      <c r="J22" s="18">
        <f t="shared" si="13"/>
        <v>0.41620667758498575</v>
      </c>
      <c r="K22" s="18">
        <f t="shared" si="13"/>
        <v>0.41773556132233114</v>
      </c>
    </row>
    <row r="23" spans="1:11" ht="14.25" customHeight="1" x14ac:dyDescent="0.15">
      <c r="A23" s="23">
        <v>1.4</v>
      </c>
      <c r="B23" s="18">
        <f>ABS(0.5-_xlfn.NORM.S.DIST($A$23+B7,TRUE))</f>
        <v>0.41924334076622893</v>
      </c>
      <c r="C23" s="18">
        <f t="shared" ref="C23:K23" si="14">ABS(0.5-_xlfn.NORM.S.DIST($A$23+C7,TRUE))</f>
        <v>0.42073015854660756</v>
      </c>
      <c r="D23" s="18">
        <f t="shared" si="14"/>
        <v>0.42219615947345368</v>
      </c>
      <c r="E23" s="18">
        <f t="shared" si="14"/>
        <v>0.42364149046326083</v>
      </c>
      <c r="F23" s="18">
        <f t="shared" si="14"/>
        <v>0.42506630046567295</v>
      </c>
      <c r="G23" s="18">
        <f t="shared" si="14"/>
        <v>0.4264707403903516</v>
      </c>
      <c r="H23" s="18">
        <f t="shared" si="14"/>
        <v>0.42785496303410619</v>
      </c>
      <c r="I23" s="18">
        <f t="shared" si="14"/>
        <v>0.42921912300831444</v>
      </c>
      <c r="J23" s="18">
        <f t="shared" si="14"/>
        <v>0.43056337666666833</v>
      </c>
      <c r="K23" s="18">
        <f t="shared" si="14"/>
        <v>0.43188788203327455</v>
      </c>
    </row>
    <row r="24" spans="1:11" ht="14.25" customHeight="1" x14ac:dyDescent="0.15">
      <c r="A24" s="23">
        <v>1.5</v>
      </c>
      <c r="B24" s="18">
        <f>ABS(0.5-_xlfn.NORM.S.DIST($A$24+B7,TRUE))</f>
        <v>0.43319279873114191</v>
      </c>
      <c r="C24" s="18">
        <f t="shared" ref="C24:K24" si="15">ABS(0.5-_xlfn.NORM.S.DIST($A$24+C7,TRUE))</f>
        <v>0.43447828791108356</v>
      </c>
      <c r="D24" s="18">
        <f t="shared" si="15"/>
        <v>0.43574451218106425</v>
      </c>
      <c r="E24" s="18">
        <f t="shared" si="15"/>
        <v>0.43699163553602161</v>
      </c>
      <c r="F24" s="18">
        <f t="shared" si="15"/>
        <v>0.43821982328818809</v>
      </c>
      <c r="G24" s="18">
        <f t="shared" si="15"/>
        <v>0.43942924199794098</v>
      </c>
      <c r="H24" s="18">
        <f t="shared" si="15"/>
        <v>0.44062005940520699</v>
      </c>
      <c r="I24" s="18">
        <f t="shared" si="15"/>
        <v>0.44179244436144693</v>
      </c>
      <c r="J24" s="18">
        <f t="shared" si="15"/>
        <v>0.44294656676224586</v>
      </c>
      <c r="K24" s="18">
        <f t="shared" si="15"/>
        <v>0.44408259748053058</v>
      </c>
    </row>
    <row r="25" spans="1:11" ht="14.25" customHeight="1" x14ac:dyDescent="0.15">
      <c r="A25" s="23">
        <v>1.6</v>
      </c>
      <c r="B25" s="18">
        <f>ABS(0.5-_xlfn.NORM.S.DIST($A$25+B7,TRUE))</f>
        <v>0.44520070830044201</v>
      </c>
      <c r="C25" s="18">
        <f t="shared" ref="C25:K25" si="16">ABS(0.5-_xlfn.NORM.S.DIST($A$25+C7,TRUE))</f>
        <v>0.44630107185188028</v>
      </c>
      <c r="D25" s="18">
        <f t="shared" si="16"/>
        <v>0.44738386154574794</v>
      </c>
      <c r="E25" s="18">
        <f t="shared" si="16"/>
        <v>0.44844925150991066</v>
      </c>
      <c r="F25" s="18">
        <f t="shared" si="16"/>
        <v>0.44949741652589625</v>
      </c>
      <c r="G25" s="18">
        <f t="shared" si="16"/>
        <v>0.4505285319663519</v>
      </c>
      <c r="H25" s="18">
        <f t="shared" si="16"/>
        <v>0.45154277373327723</v>
      </c>
      <c r="I25" s="18">
        <f t="shared" si="16"/>
        <v>0.45254031819705265</v>
      </c>
      <c r="J25" s="18">
        <f t="shared" si="16"/>
        <v>0.45352134213628004</v>
      </c>
      <c r="K25" s="18">
        <f t="shared" si="16"/>
        <v>0.45448602267845017</v>
      </c>
    </row>
    <row r="26" spans="1:11" ht="14.25" customHeight="1" x14ac:dyDescent="0.15">
      <c r="A26" s="23">
        <v>1.7</v>
      </c>
      <c r="B26" s="18">
        <f>ABS(0.5-_xlfn.NORM.S.DIST($A$26+B7,TRUE))</f>
        <v>0.45543453724145699</v>
      </c>
      <c r="C26" s="18">
        <f t="shared" ref="C26:K26" si="17">ABS(0.5-_xlfn.NORM.S.DIST($A$26+C7,TRUE))</f>
        <v>0.45636706347596812</v>
      </c>
      <c r="D26" s="18">
        <f t="shared" si="17"/>
        <v>0.45728377920867114</v>
      </c>
      <c r="E26" s="18">
        <f t="shared" si="17"/>
        <v>0.4581848623864051</v>
      </c>
      <c r="F26" s="18">
        <f t="shared" si="17"/>
        <v>0.45907049102119268</v>
      </c>
      <c r="G26" s="18">
        <f t="shared" si="17"/>
        <v>0.45994084313618289</v>
      </c>
      <c r="H26" s="18">
        <f t="shared" si="17"/>
        <v>0.46079609671251731</v>
      </c>
      <c r="I26" s="18">
        <f t="shared" si="17"/>
        <v>0.46163642963712881</v>
      </c>
      <c r="J26" s="18">
        <f t="shared" si="17"/>
        <v>0.46246201965148326</v>
      </c>
      <c r="K26" s="18">
        <f t="shared" si="17"/>
        <v>0.4632730443012737</v>
      </c>
    </row>
    <row r="27" spans="1:11" ht="14.25" customHeight="1" x14ac:dyDescent="0.15">
      <c r="A27" s="23">
        <v>1.8</v>
      </c>
      <c r="B27" s="18">
        <f>ABS(0.5-_xlfn.NORM.S.DIST($A$27+B7,TRUE))</f>
        <v>0.46406968088707423</v>
      </c>
      <c r="C27" s="18">
        <f t="shared" ref="C27:K27" si="18">ABS(0.5-_xlfn.NORM.S.DIST($A$27+C7,TRUE))</f>
        <v>0.4648521064159612</v>
      </c>
      <c r="D27" s="18">
        <f t="shared" si="18"/>
        <v>0.46562049755411006</v>
      </c>
      <c r="E27" s="18">
        <f t="shared" si="18"/>
        <v>0.46637503058037166</v>
      </c>
      <c r="F27" s="18">
        <f t="shared" si="18"/>
        <v>0.46711588134083615</v>
      </c>
      <c r="G27" s="18">
        <f t="shared" si="18"/>
        <v>0.46784322520438626</v>
      </c>
      <c r="H27" s="18">
        <f t="shared" si="18"/>
        <v>0.46855723701924734</v>
      </c>
      <c r="I27" s="18">
        <f t="shared" si="18"/>
        <v>0.46925809107053407</v>
      </c>
      <c r="J27" s="18">
        <f t="shared" si="18"/>
        <v>0.46994596103880026</v>
      </c>
      <c r="K27" s="18">
        <f t="shared" si="18"/>
        <v>0.4706210199595906</v>
      </c>
    </row>
    <row r="28" spans="1:11" ht="14.25" customHeight="1" x14ac:dyDescent="0.15">
      <c r="A28" s="23">
        <v>1.9</v>
      </c>
      <c r="B28" s="18">
        <f>ABS(0.5-_xlfn.NORM.S.DIST($A$28+B7,TRUE))</f>
        <v>0.47128344018399815</v>
      </c>
      <c r="C28" s="18">
        <f t="shared" ref="C28:K28" si="19">ABS(0.5-_xlfn.NORM.S.DIST($A$28+C7,TRUE))</f>
        <v>0.47193339334022744</v>
      </c>
      <c r="D28" s="18">
        <f t="shared" si="19"/>
        <v>0.4725710502961632</v>
      </c>
      <c r="E28" s="18">
        <f t="shared" si="19"/>
        <v>0.47319658112294505</v>
      </c>
      <c r="F28" s="18">
        <f t="shared" si="19"/>
        <v>0.47381015505954727</v>
      </c>
      <c r="G28" s="18">
        <f t="shared" si="19"/>
        <v>0.47441194047836144</v>
      </c>
      <c r="H28" s="18">
        <f t="shared" si="19"/>
        <v>0.47500210485177952</v>
      </c>
      <c r="I28" s="18">
        <f t="shared" si="19"/>
        <v>0.47558081471977742</v>
      </c>
      <c r="J28" s="18">
        <f t="shared" si="19"/>
        <v>0.47614823565849151</v>
      </c>
      <c r="K28" s="18">
        <f t="shared" si="19"/>
        <v>0.47670453224978815</v>
      </c>
    </row>
    <row r="29" spans="1:11" ht="14.25" customHeight="1" x14ac:dyDescent="0.15">
      <c r="A29" s="23">
        <v>2</v>
      </c>
      <c r="B29" s="18">
        <f>ABS(0.5-_xlfn.NORM.S.DIST($A$29+B7,TRUE))</f>
        <v>0.47724986805182079</v>
      </c>
      <c r="C29" s="18">
        <f t="shared" ref="C29:K29" si="20">ABS(0.5-_xlfn.NORM.S.DIST($A$29+C7,TRUE))</f>
        <v>0.47778440557056856</v>
      </c>
      <c r="D29" s="18">
        <f t="shared" si="20"/>
        <v>0.47830830623235321</v>
      </c>
      <c r="E29" s="18">
        <f t="shared" si="20"/>
        <v>0.47882173035732778</v>
      </c>
      <c r="F29" s="18">
        <f t="shared" si="20"/>
        <v>0.47932483713392993</v>
      </c>
      <c r="G29" s="18">
        <f t="shared" si="20"/>
        <v>0.47981778459429558</v>
      </c>
      <c r="H29" s="18">
        <f t="shared" si="20"/>
        <v>0.48030072959062309</v>
      </c>
      <c r="I29" s="18">
        <f t="shared" si="20"/>
        <v>0.48077382777248268</v>
      </c>
      <c r="J29" s="18">
        <f t="shared" si="20"/>
        <v>0.48123723356506221</v>
      </c>
      <c r="K29" s="18">
        <f t="shared" si="20"/>
        <v>0.48169110014834104</v>
      </c>
    </row>
    <row r="30" spans="1:11" ht="14.25" customHeight="1" x14ac:dyDescent="0.15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4.25" customHeight="1" x14ac:dyDescent="0.15">
      <c r="A31" s="23">
        <v>2.1</v>
      </c>
      <c r="B31" s="18">
        <f>ABS(0.5-_xlfn.NORM.S.DIST($A$31+B7,TRUE))</f>
        <v>0.48213557943718344</v>
      </c>
      <c r="C31" s="18">
        <f t="shared" ref="C31:K31" si="21">ABS(0.5-_xlfn.NORM.S.DIST($A$31+C7,TRUE))</f>
        <v>0.48257082206234292</v>
      </c>
      <c r="D31" s="18">
        <f t="shared" si="21"/>
        <v>0.48299697735236724</v>
      </c>
      <c r="E31" s="18">
        <f t="shared" si="21"/>
        <v>0.48341419331639501</v>
      </c>
      <c r="F31" s="18">
        <f t="shared" si="21"/>
        <v>0.48382261662783388</v>
      </c>
      <c r="G31" s="18">
        <f t="shared" si="21"/>
        <v>0.48422239260890954</v>
      </c>
      <c r="H31" s="18">
        <f t="shared" si="21"/>
        <v>0.48461366521607452</v>
      </c>
      <c r="I31" s="18">
        <f t="shared" si="21"/>
        <v>0.48499657702626775</v>
      </c>
      <c r="J31" s="18">
        <f t="shared" si="21"/>
        <v>0.48537126922401075</v>
      </c>
      <c r="K31" s="18">
        <f t="shared" si="21"/>
        <v>0.48573788158933118</v>
      </c>
    </row>
    <row r="32" spans="1:11" ht="14.25" customHeight="1" x14ac:dyDescent="0.15">
      <c r="A32" s="23">
        <v>2.2000000000000002</v>
      </c>
      <c r="B32" s="18">
        <f>ABS(0.5-_xlfn.NORM.S.DIST($A$32+B7,TRUE))</f>
        <v>0.48609655248650141</v>
      </c>
      <c r="C32" s="18">
        <f t="shared" ref="C32:K32" si="22">ABS(0.5-_xlfn.NORM.S.DIST($A$32+C7,TRUE))</f>
        <v>0.48644741885358</v>
      </c>
      <c r="D32" s="18">
        <f t="shared" si="22"/>
        <v>0.48679061619274377</v>
      </c>
      <c r="E32" s="18">
        <f t="shared" si="22"/>
        <v>0.48712627856139801</v>
      </c>
      <c r="F32" s="18">
        <f t="shared" si="22"/>
        <v>0.48745453856405341</v>
      </c>
      <c r="G32" s="18">
        <f t="shared" si="22"/>
        <v>0.48777552734495533</v>
      </c>
      <c r="H32" s="18">
        <f t="shared" si="22"/>
        <v>0.48808937458145296</v>
      </c>
      <c r="I32" s="18">
        <f t="shared" si="22"/>
        <v>0.48839620847809651</v>
      </c>
      <c r="J32" s="18">
        <f t="shared" si="22"/>
        <v>0.4886961557614472</v>
      </c>
      <c r="K32" s="18">
        <f t="shared" si="22"/>
        <v>0.48898934167558861</v>
      </c>
    </row>
    <row r="33" spans="1:11" ht="14.25" customHeight="1" x14ac:dyDescent="0.15">
      <c r="A33" s="23">
        <v>2.2999999999999998</v>
      </c>
      <c r="B33" s="18">
        <f>ABS(0.5-_xlfn.NORM.S.DIST($A$33+B7,TRUE))</f>
        <v>0.48927588997832416</v>
      </c>
      <c r="C33" s="18">
        <f t="shared" ref="C33:K33" si="23">ABS(0.5-_xlfn.NORM.S.DIST($A$33+C7,TRUE))</f>
        <v>0.48955592293804895</v>
      </c>
      <c r="D33" s="18">
        <f t="shared" si="23"/>
        <v>0.48982956133128031</v>
      </c>
      <c r="E33" s="18">
        <f t="shared" si="23"/>
        <v>0.49009692444083575</v>
      </c>
      <c r="F33" s="18">
        <f t="shared" si="23"/>
        <v>0.49035813005464168</v>
      </c>
      <c r="G33" s="18">
        <f t="shared" si="23"/>
        <v>0.49061329446516144</v>
      </c>
      <c r="H33" s="18">
        <f t="shared" si="23"/>
        <v>0.49086253246942735</v>
      </c>
      <c r="I33" s="18">
        <f t="shared" si="23"/>
        <v>0.49110595736966323</v>
      </c>
      <c r="J33" s="18">
        <f t="shared" si="23"/>
        <v>0.49134368097448344</v>
      </c>
      <c r="K33" s="18">
        <f t="shared" si="23"/>
        <v>0.49157581360065428</v>
      </c>
    </row>
    <row r="34" spans="1:11" ht="14.25" customHeight="1" x14ac:dyDescent="0.15">
      <c r="A34" s="23">
        <v>2.4</v>
      </c>
      <c r="B34" s="18">
        <f>ABS(0.5-_xlfn.NORM.S.DIST($A$34+B7,TRUE))</f>
        <v>0.49180246407540384</v>
      </c>
      <c r="C34" s="18">
        <f t="shared" ref="C34:K34" si="24">ABS(0.5-_xlfn.NORM.S.DIST($A$34+C7,TRUE))</f>
        <v>0.49202373973926627</v>
      </c>
      <c r="D34" s="18">
        <f t="shared" si="24"/>
        <v>0.49223974644944635</v>
      </c>
      <c r="E34" s="18">
        <f t="shared" si="24"/>
        <v>0.49245058858369084</v>
      </c>
      <c r="F34" s="18">
        <f t="shared" si="24"/>
        <v>0.49265636904465171</v>
      </c>
      <c r="G34" s="18">
        <f t="shared" si="24"/>
        <v>0.49285718926472855</v>
      </c>
      <c r="H34" s="18">
        <f t="shared" si="24"/>
        <v>0.49305314921137566</v>
      </c>
      <c r="I34" s="18">
        <f t="shared" si="24"/>
        <v>0.49324434739285938</v>
      </c>
      <c r="J34" s="18">
        <f t="shared" si="24"/>
        <v>0.49343088086445319</v>
      </c>
      <c r="K34" s="18">
        <f t="shared" si="24"/>
        <v>0.49361284523505677</v>
      </c>
    </row>
    <row r="35" spans="1:11" ht="14.25" customHeight="1" x14ac:dyDescent="0.15">
      <c r="A35" s="23">
        <v>2.5</v>
      </c>
      <c r="B35" s="18">
        <f>ABS(0.5-_xlfn.NORM.S.DIST($A$35+B7,TRUE))</f>
        <v>0.49379033467422384</v>
      </c>
      <c r="C35" s="18">
        <f t="shared" ref="C35:K35" si="25">ABS(0.5-_xlfn.NORM.S.DIST($A$35+C7,TRUE))</f>
        <v>0.4939634419195873</v>
      </c>
      <c r="D35" s="18">
        <f t="shared" si="25"/>
        <v>0.49413225828466745</v>
      </c>
      <c r="E35" s="18">
        <f t="shared" si="25"/>
        <v>0.49429687366704933</v>
      </c>
      <c r="F35" s="18">
        <f t="shared" si="25"/>
        <v>0.49445737655691735</v>
      </c>
      <c r="G35" s="18">
        <f t="shared" si="25"/>
        <v>0.49461385404593328</v>
      </c>
      <c r="H35" s="18">
        <f t="shared" si="25"/>
        <v>0.49476639183644422</v>
      </c>
      <c r="I35" s="18">
        <f t="shared" si="25"/>
        <v>0.494915074251009</v>
      </c>
      <c r="J35" s="18">
        <f t="shared" si="25"/>
        <v>0.49505998424222941</v>
      </c>
      <c r="K35" s="18">
        <f t="shared" si="25"/>
        <v>0.49520120340287377</v>
      </c>
    </row>
    <row r="36" spans="1:11" ht="14.25" customHeight="1" x14ac:dyDescent="0.15">
      <c r="A36" s="23">
        <v>2.6</v>
      </c>
      <c r="B36" s="18">
        <f>ABS(0.5-_xlfn.NORM.S.DIST($A$36+B7,TRUE))</f>
        <v>0.49533881197628127</v>
      </c>
      <c r="C36" s="18">
        <f t="shared" ref="C36:K36" si="26">ABS(0.5-_xlfn.NORM.S.DIST($A$36+C7,TRUE))</f>
        <v>0.49547288886703267</v>
      </c>
      <c r="D36" s="18">
        <f t="shared" si="26"/>
        <v>0.49560351165187866</v>
      </c>
      <c r="E36" s="18">
        <f t="shared" si="26"/>
        <v>0.4957307565909107</v>
      </c>
      <c r="F36" s="18">
        <f t="shared" si="26"/>
        <v>0.49585469863896392</v>
      </c>
      <c r="G36" s="18">
        <f t="shared" si="26"/>
        <v>0.49597541145724167</v>
      </c>
      <c r="H36" s="18">
        <f t="shared" si="26"/>
        <v>0.49609296742514719</v>
      </c>
      <c r="I36" s="18">
        <f t="shared" si="26"/>
        <v>0.49620743765231456</v>
      </c>
      <c r="J36" s="18">
        <f t="shared" si="26"/>
        <v>0.49631889199082502</v>
      </c>
      <c r="K36" s="18">
        <f t="shared" si="26"/>
        <v>0.49642739904760025</v>
      </c>
    </row>
    <row r="37" spans="1:11" ht="14.25" customHeight="1" x14ac:dyDescent="0.15">
      <c r="A37" s="23">
        <v>2.7</v>
      </c>
      <c r="B37" s="18">
        <f>ABS(0.5-_xlfn.NORM.S.DIST($A$37+B7,TRUE))</f>
        <v>0.49653302619695938</v>
      </c>
      <c r="C37" s="18">
        <f t="shared" ref="C37:K37" si="27">ABS(0.5-_xlfn.NORM.S.DIST($A$37+C7,TRUE))</f>
        <v>0.4966358395933308</v>
      </c>
      <c r="D37" s="18">
        <f t="shared" si="27"/>
        <v>0.49673590418410873</v>
      </c>
      <c r="E37" s="18">
        <f t="shared" si="27"/>
        <v>0.49683328372264224</v>
      </c>
      <c r="F37" s="18">
        <f t="shared" si="27"/>
        <v>0.49692804078134956</v>
      </c>
      <c r="G37" s="18">
        <f t="shared" si="27"/>
        <v>0.49702023676494544</v>
      </c>
      <c r="H37" s="18">
        <f t="shared" si="27"/>
        <v>0.49710993192377384</v>
      </c>
      <c r="I37" s="18">
        <f t="shared" si="27"/>
        <v>0.49719718536723501</v>
      </c>
      <c r="J37" s="18">
        <f t="shared" si="27"/>
        <v>0.49728205507729872</v>
      </c>
      <c r="K37" s="18">
        <f t="shared" si="27"/>
        <v>0.49736459792209509</v>
      </c>
    </row>
    <row r="38" spans="1:11" ht="14.25" customHeight="1" x14ac:dyDescent="0.15">
      <c r="A38" s="23">
        <v>2.8</v>
      </c>
      <c r="B38" s="18">
        <f>ABS(0.5-_xlfn.NORM.S.DIST($A$38+B7,TRUE))</f>
        <v>0.49744486966957202</v>
      </c>
      <c r="C38" s="18">
        <f t="shared" ref="C38:K38" si="28">ABS(0.5-_xlfn.NORM.S.DIST($A$38+C7,TRUE))</f>
        <v>0.49752292500121409</v>
      </c>
      <c r="D38" s="18">
        <f t="shared" si="28"/>
        <v>0.4975988175258107</v>
      </c>
      <c r="E38" s="18">
        <f t="shared" si="28"/>
        <v>0.4976725997932685</v>
      </c>
      <c r="F38" s="18">
        <f t="shared" si="28"/>
        <v>0.49774432330845764</v>
      </c>
      <c r="G38" s="18">
        <f t="shared" si="28"/>
        <v>0.49781403854508677</v>
      </c>
      <c r="H38" s="18">
        <f t="shared" si="28"/>
        <v>0.49788179495959539</v>
      </c>
      <c r="I38" s="18">
        <f t="shared" si="28"/>
        <v>0.49794764100506028</v>
      </c>
      <c r="J38" s="18">
        <f t="shared" si="28"/>
        <v>0.49801162414510569</v>
      </c>
      <c r="K38" s="18">
        <f t="shared" si="28"/>
        <v>0.49807379086781212</v>
      </c>
    </row>
    <row r="39" spans="1:11" ht="14.25" customHeight="1" x14ac:dyDescent="0.15">
      <c r="A39" s="23">
        <v>2.9</v>
      </c>
      <c r="B39" s="18">
        <f>ABS(0.5-_xlfn.NORM.S.DIST($A$39+B7,TRUE))</f>
        <v>0.49813418669961596</v>
      </c>
      <c r="C39" s="18">
        <f t="shared" ref="C39:K39" si="29">ABS(0.5-_xlfn.NORM.S.DIST($A$39+C7,TRUE))</f>
        <v>0.49819285621919351</v>
      </c>
      <c r="D39" s="18">
        <f t="shared" si="29"/>
        <v>0.49824984307132392</v>
      </c>
      <c r="E39" s="18">
        <f t="shared" si="29"/>
        <v>0.49830518998072271</v>
      </c>
      <c r="F39" s="18">
        <f t="shared" si="29"/>
        <v>0.49835893876584303</v>
      </c>
      <c r="G39" s="18">
        <f t="shared" si="29"/>
        <v>0.49841113035263518</v>
      </c>
      <c r="H39" s="18">
        <f t="shared" si="29"/>
        <v>0.49846180478826196</v>
      </c>
      <c r="I39" s="18">
        <f t="shared" si="29"/>
        <v>0.49851100125476255</v>
      </c>
      <c r="J39" s="18">
        <f t="shared" si="29"/>
        <v>0.49855875808266004</v>
      </c>
      <c r="K39" s="18">
        <f t="shared" si="29"/>
        <v>0.4986051127645077</v>
      </c>
    </row>
    <row r="40" spans="1:11" ht="14.25" customHeight="1" x14ac:dyDescent="0.15">
      <c r="A40" s="23">
        <v>3</v>
      </c>
      <c r="B40" s="18">
        <f>ABS(0.5-_xlfn.NORM.S.DIST($A$40+B7,TRUE))</f>
        <v>0.4986501019683699</v>
      </c>
      <c r="C40" s="18">
        <f t="shared" ref="C40:K40" si="30">ABS(0.5-_xlfn.NORM.S.DIST($A$40+C7,TRUE))</f>
        <v>0.49869376155123057</v>
      </c>
      <c r="D40" s="18">
        <f t="shared" si="30"/>
        <v>0.49873612657232769</v>
      </c>
      <c r="E40" s="18">
        <f t="shared" si="30"/>
        <v>0.49877723130640772</v>
      </c>
      <c r="F40" s="18">
        <f t="shared" si="30"/>
        <v>0.4988171092568956</v>
      </c>
      <c r="G40" s="18">
        <f t="shared" si="30"/>
        <v>0.49885579316897732</v>
      </c>
      <c r="H40" s="18">
        <f t="shared" si="30"/>
        <v>0.49889331504259071</v>
      </c>
      <c r="I40" s="18">
        <f t="shared" si="30"/>
        <v>0.49892970614532106</v>
      </c>
      <c r="J40" s="18">
        <f t="shared" si="30"/>
        <v>0.49896499702519714</v>
      </c>
      <c r="K40" s="18">
        <f t="shared" si="30"/>
        <v>0.49899921752338594</v>
      </c>
    </row>
    <row r="41" spans="1:11" ht="14.25" customHeight="1" x14ac:dyDescent="0.15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ht="14.25" customHeight="1" x14ac:dyDescent="0.15">
      <c r="A42" s="23">
        <v>3.1</v>
      </c>
      <c r="B42" s="18">
        <f>ABS(0.5-_xlfn.NORM.S.DIST($A$42+B7,TRUE))</f>
        <v>0.49903239678678168</v>
      </c>
      <c r="C42" s="18">
        <f t="shared" ref="C42:K42" si="31">ABS(0.5-_xlfn.NORM.S.DIST($A$42+C7,TRUE))</f>
        <v>0.49906456328048587</v>
      </c>
      <c r="D42" s="18">
        <f t="shared" si="31"/>
        <v>0.49909574480017771</v>
      </c>
      <c r="E42" s="18">
        <f t="shared" si="31"/>
        <v>0.49912596848436841</v>
      </c>
      <c r="F42" s="18">
        <f t="shared" si="31"/>
        <v>0.49915526082654138</v>
      </c>
      <c r="G42" s="18">
        <f t="shared" si="31"/>
        <v>0.49918364768717138</v>
      </c>
      <c r="H42" s="18">
        <f t="shared" si="31"/>
        <v>0.49921115430562446</v>
      </c>
      <c r="I42" s="18">
        <f t="shared" si="31"/>
        <v>0.49923780531193274</v>
      </c>
      <c r="J42" s="18">
        <f t="shared" si="31"/>
        <v>0.4992636247384461</v>
      </c>
      <c r="K42" s="18">
        <f t="shared" si="31"/>
        <v>0.49928863603135465</v>
      </c>
    </row>
    <row r="43" spans="1:11" ht="8" customHeight="1" x14ac:dyDescent="0.15">
      <c r="A43" s="61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14" x14ac:dyDescent="0.15">
      <c r="B44" s="33" t="s">
        <v>147</v>
      </c>
    </row>
    <row r="45" spans="1:11" ht="15" customHeight="1" x14ac:dyDescent="0.15">
      <c r="B45" s="32"/>
      <c r="C45" s="32"/>
      <c r="D45" s="32"/>
      <c r="E45" s="33" t="s">
        <v>140</v>
      </c>
      <c r="G45" s="32"/>
      <c r="H45" s="32"/>
      <c r="I45" s="32"/>
      <c r="J45" s="32"/>
    </row>
    <row r="46" spans="1:11" ht="14" x14ac:dyDescent="0.15">
      <c r="B46" s="32"/>
      <c r="C46" s="32"/>
      <c r="D46" s="34" t="s">
        <v>119</v>
      </c>
      <c r="E46" s="35"/>
      <c r="F46" s="34" t="s">
        <v>136</v>
      </c>
      <c r="G46" s="35"/>
      <c r="H46" s="34" t="s">
        <v>14</v>
      </c>
      <c r="I46" s="35"/>
      <c r="J46" s="32"/>
    </row>
    <row r="47" spans="1:11" ht="14" x14ac:dyDescent="0.15">
      <c r="B47" s="36" t="s">
        <v>120</v>
      </c>
      <c r="C47" s="36"/>
      <c r="D47" s="37" t="s">
        <v>39</v>
      </c>
      <c r="E47" s="38"/>
      <c r="F47" s="37" t="s">
        <v>138</v>
      </c>
      <c r="G47" s="38"/>
      <c r="H47" s="37" t="s">
        <v>141</v>
      </c>
      <c r="I47" s="36"/>
      <c r="J47" s="36"/>
    </row>
    <row r="48" spans="1:11" ht="14" x14ac:dyDescent="0.15">
      <c r="B48" s="32" t="s">
        <v>121</v>
      </c>
      <c r="C48" s="32"/>
      <c r="D48" s="39" t="s">
        <v>91</v>
      </c>
      <c r="E48" s="40"/>
      <c r="F48" s="39" t="s">
        <v>94</v>
      </c>
      <c r="G48" s="40"/>
      <c r="H48" s="39" t="s">
        <v>13</v>
      </c>
      <c r="I48" s="32"/>
      <c r="J48" s="32"/>
    </row>
    <row r="49" spans="2:10" ht="14" x14ac:dyDescent="0.15">
      <c r="B49" s="41" t="s">
        <v>122</v>
      </c>
      <c r="C49" s="41"/>
      <c r="D49" s="42" t="s">
        <v>56</v>
      </c>
      <c r="E49" s="43"/>
      <c r="F49" s="42" t="s">
        <v>58</v>
      </c>
      <c r="G49" s="43"/>
      <c r="H49" s="42" t="s">
        <v>158</v>
      </c>
      <c r="I49" s="41"/>
      <c r="J49" s="41"/>
    </row>
    <row r="51" spans="2:10" ht="14" x14ac:dyDescent="0.15">
      <c r="B51" s="98" t="s">
        <v>42</v>
      </c>
    </row>
  </sheetData>
  <phoneticPr fontId="0" type="noConversion"/>
  <pageMargins left="0.7" right="0.7" top="0.64" bottom="0.6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zoomScale="150" workbookViewId="0">
      <pane xSplit="1" ySplit="9" topLeftCell="B103" activePane="bottomRight" state="frozen"/>
      <selection pane="topRight" activeCell="B1" sqref="B1"/>
      <selection pane="bottomLeft" activeCell="A10" sqref="A10"/>
      <selection pane="bottomRight" activeCell="C113" sqref="C113"/>
    </sheetView>
  </sheetViews>
  <sheetFormatPr baseColWidth="10" defaultColWidth="8.83203125" defaultRowHeight="13" x14ac:dyDescent="0.15"/>
  <cols>
    <col min="2" max="2" width="9.5" bestFit="1" customWidth="1"/>
  </cols>
  <sheetData>
    <row r="1" spans="1:8" ht="14.25" customHeight="1" x14ac:dyDescent="0.15">
      <c r="A1" s="33" t="s">
        <v>139</v>
      </c>
    </row>
    <row r="2" spans="1:8" ht="3.75" customHeight="1" x14ac:dyDescent="0.15">
      <c r="A2" s="19"/>
    </row>
    <row r="3" spans="1:8" ht="12" customHeight="1" x14ac:dyDescent="0.15">
      <c r="B3" s="62" t="s">
        <v>118</v>
      </c>
    </row>
    <row r="4" spans="1:8" ht="12" customHeight="1" x14ac:dyDescent="0.15">
      <c r="B4" s="62" t="s">
        <v>73</v>
      </c>
    </row>
    <row r="5" spans="1:8" ht="12" customHeight="1" x14ac:dyDescent="0.15">
      <c r="D5" s="19" t="s">
        <v>74</v>
      </c>
    </row>
    <row r="6" spans="1:8" ht="12" customHeight="1" x14ac:dyDescent="0.15">
      <c r="A6" s="25" t="s">
        <v>75</v>
      </c>
      <c r="B6" s="24">
        <v>0.2</v>
      </c>
      <c r="C6" s="24">
        <v>0.1</v>
      </c>
      <c r="D6" s="24">
        <v>0.05</v>
      </c>
      <c r="E6" s="24">
        <v>0.02</v>
      </c>
      <c r="F6" s="24">
        <v>0.01</v>
      </c>
      <c r="G6" s="24">
        <v>2E-3</v>
      </c>
      <c r="H6" s="24">
        <v>1E-3</v>
      </c>
    </row>
    <row r="7" spans="1:8" ht="3.75" customHeight="1" x14ac:dyDescent="0.15">
      <c r="A7" s="19"/>
    </row>
    <row r="8" spans="1:8" ht="12" customHeight="1" x14ac:dyDescent="0.15">
      <c r="D8" s="19" t="s">
        <v>40</v>
      </c>
    </row>
    <row r="9" spans="1:8" ht="12" customHeight="1" x14ac:dyDescent="0.15">
      <c r="A9" s="25" t="s">
        <v>75</v>
      </c>
      <c r="B9" s="24">
        <v>0.1</v>
      </c>
      <c r="C9" s="24">
        <v>0.05</v>
      </c>
      <c r="D9" s="24">
        <v>2.5000000000000001E-2</v>
      </c>
      <c r="E9" s="24">
        <v>0.01</v>
      </c>
      <c r="F9" s="24">
        <v>5.0000000000000001E-3</v>
      </c>
      <c r="G9" s="24">
        <v>1E-3</v>
      </c>
      <c r="H9" s="24">
        <v>5.0000000000000001E-4</v>
      </c>
    </row>
    <row r="10" spans="1:8" x14ac:dyDescent="0.15">
      <c r="A10" s="26">
        <v>1</v>
      </c>
      <c r="B10" s="27">
        <f t="shared" ref="B10:B41" si="0">_xlfn.T.INV.2T($B$9*2,A10)</f>
        <v>3.077683537175254</v>
      </c>
      <c r="C10" s="27">
        <f t="shared" ref="C10:C41" si="1">_xlfn.T.INV.2T($C$9*2,A10)</f>
        <v>6.3137515146750438</v>
      </c>
      <c r="D10" s="27">
        <f t="shared" ref="D10:D41" si="2">_xlfn.T.INV.2T($D$9*2,A10)</f>
        <v>12.706204736174707</v>
      </c>
      <c r="E10" s="27">
        <f t="shared" ref="E10:E41" si="3">_xlfn.T.INV.2T($E$9*2,A10)</f>
        <v>31.820515953773956</v>
      </c>
      <c r="F10" s="27">
        <f t="shared" ref="F10:F41" si="4">_xlfn.T.INV.2T($F$9*2,A10)</f>
        <v>63.656741162871583</v>
      </c>
      <c r="G10" s="27">
        <f t="shared" ref="G10:G41" si="5">_xlfn.T.INV.2T($G$9*2,A10)</f>
        <v>318.30883898555044</v>
      </c>
      <c r="H10" s="27">
        <f t="shared" ref="H10:H41" si="6">_xlfn.T.INV.2T($H$9*2,A10)</f>
        <v>636.61924876871956</v>
      </c>
    </row>
    <row r="11" spans="1:8" x14ac:dyDescent="0.15">
      <c r="A11" s="26">
        <v>2</v>
      </c>
      <c r="B11" s="27">
        <f t="shared" si="0"/>
        <v>1.8856180831641267</v>
      </c>
      <c r="C11" s="27">
        <f t="shared" si="1"/>
        <v>2.9199855803537269</v>
      </c>
      <c r="D11" s="27">
        <f t="shared" si="2"/>
        <v>4.3026527297494637</v>
      </c>
      <c r="E11" s="27">
        <f t="shared" si="3"/>
        <v>6.9645567342832733</v>
      </c>
      <c r="F11" s="27">
        <f t="shared" si="4"/>
        <v>9.9248432009182928</v>
      </c>
      <c r="G11" s="27">
        <f t="shared" si="5"/>
        <v>22.327124770119873</v>
      </c>
      <c r="H11" s="27">
        <f t="shared" si="6"/>
        <v>31.599054576443621</v>
      </c>
    </row>
    <row r="12" spans="1:8" x14ac:dyDescent="0.15">
      <c r="A12" s="26">
        <v>3</v>
      </c>
      <c r="B12" s="27">
        <f t="shared" si="0"/>
        <v>1.63774435369621</v>
      </c>
      <c r="C12" s="27">
        <f t="shared" si="1"/>
        <v>2.3533634348018233</v>
      </c>
      <c r="D12" s="27">
        <f t="shared" si="2"/>
        <v>3.1824463052837091</v>
      </c>
      <c r="E12" s="27">
        <f t="shared" si="3"/>
        <v>4.5407028585681335</v>
      </c>
      <c r="F12" s="27">
        <f t="shared" si="4"/>
        <v>5.8409093097333571</v>
      </c>
      <c r="G12" s="27">
        <f t="shared" si="5"/>
        <v>10.214531852407385</v>
      </c>
      <c r="H12" s="27">
        <f t="shared" si="6"/>
        <v>12.923978636687485</v>
      </c>
    </row>
    <row r="13" spans="1:8" x14ac:dyDescent="0.15">
      <c r="A13" s="26">
        <v>4</v>
      </c>
      <c r="B13" s="27">
        <f t="shared" si="0"/>
        <v>1.5332062740589443</v>
      </c>
      <c r="C13" s="27">
        <f t="shared" si="1"/>
        <v>2.1318467863266499</v>
      </c>
      <c r="D13" s="27">
        <f t="shared" si="2"/>
        <v>2.7764451051977934</v>
      </c>
      <c r="E13" s="27">
        <f t="shared" si="3"/>
        <v>3.7469473879791968</v>
      </c>
      <c r="F13" s="27">
        <f t="shared" si="4"/>
        <v>4.604094871349993</v>
      </c>
      <c r="G13" s="27">
        <f t="shared" si="5"/>
        <v>7.1731822197823085</v>
      </c>
      <c r="H13" s="27">
        <f t="shared" si="6"/>
        <v>8.6103015813792751</v>
      </c>
    </row>
    <row r="14" spans="1:8" x14ac:dyDescent="0.15">
      <c r="A14" s="26">
        <v>5</v>
      </c>
      <c r="B14" s="27">
        <f t="shared" si="0"/>
        <v>1.4758840488244813</v>
      </c>
      <c r="C14" s="27">
        <f t="shared" si="1"/>
        <v>2.0150483733330233</v>
      </c>
      <c r="D14" s="27">
        <f t="shared" si="2"/>
        <v>2.570581835636315</v>
      </c>
      <c r="E14" s="27">
        <f t="shared" si="3"/>
        <v>3.3649299989072183</v>
      </c>
      <c r="F14" s="27">
        <f t="shared" si="4"/>
        <v>4.0321429835552278</v>
      </c>
      <c r="G14" s="27">
        <f t="shared" si="5"/>
        <v>5.893429531356011</v>
      </c>
      <c r="H14" s="27">
        <f t="shared" si="6"/>
        <v>6.8688266258811099</v>
      </c>
    </row>
    <row r="15" spans="1:8" x14ac:dyDescent="0.15">
      <c r="A15" s="26">
        <v>6</v>
      </c>
      <c r="B15" s="27">
        <f t="shared" si="0"/>
        <v>1.4397557472651481</v>
      </c>
      <c r="C15" s="27">
        <f t="shared" si="1"/>
        <v>1.9431802805153031</v>
      </c>
      <c r="D15" s="27">
        <f t="shared" si="2"/>
        <v>2.4469118511449697</v>
      </c>
      <c r="E15" s="27">
        <f t="shared" si="3"/>
        <v>3.1426684032909828</v>
      </c>
      <c r="F15" s="27">
        <f t="shared" si="4"/>
        <v>3.7074280213247794</v>
      </c>
      <c r="G15" s="27">
        <f t="shared" si="5"/>
        <v>5.2076262387253633</v>
      </c>
      <c r="H15" s="27">
        <f t="shared" si="6"/>
        <v>5.9588161788187586</v>
      </c>
    </row>
    <row r="16" spans="1:8" x14ac:dyDescent="0.15">
      <c r="A16" s="26">
        <v>7</v>
      </c>
      <c r="B16" s="27">
        <f t="shared" si="0"/>
        <v>1.4149239276505079</v>
      </c>
      <c r="C16" s="27">
        <f t="shared" si="1"/>
        <v>1.8945786050900073</v>
      </c>
      <c r="D16" s="27">
        <f t="shared" si="2"/>
        <v>2.3646242515927849</v>
      </c>
      <c r="E16" s="27">
        <f t="shared" si="3"/>
        <v>2.997951566868529</v>
      </c>
      <c r="F16" s="27">
        <f t="shared" si="4"/>
        <v>3.4994832973504946</v>
      </c>
      <c r="G16" s="27">
        <f t="shared" si="5"/>
        <v>4.785289628638334</v>
      </c>
      <c r="H16" s="27">
        <f t="shared" si="6"/>
        <v>5.4078825208617252</v>
      </c>
    </row>
    <row r="17" spans="1:8" x14ac:dyDescent="0.15">
      <c r="A17" s="26">
        <v>8</v>
      </c>
      <c r="B17" s="27">
        <f t="shared" si="0"/>
        <v>1.3968153097438645</v>
      </c>
      <c r="C17" s="27">
        <f t="shared" si="1"/>
        <v>1.8595480375308981</v>
      </c>
      <c r="D17" s="27">
        <f t="shared" si="2"/>
        <v>2.3060041352041671</v>
      </c>
      <c r="E17" s="27">
        <f t="shared" si="3"/>
        <v>2.8964594477096224</v>
      </c>
      <c r="F17" s="27">
        <f t="shared" si="4"/>
        <v>3.3553873313333953</v>
      </c>
      <c r="G17" s="27">
        <f t="shared" si="5"/>
        <v>4.5007909337237244</v>
      </c>
      <c r="H17" s="27">
        <f t="shared" si="6"/>
        <v>5.0413054333733669</v>
      </c>
    </row>
    <row r="18" spans="1:8" x14ac:dyDescent="0.15">
      <c r="A18" s="26">
        <v>9</v>
      </c>
      <c r="B18" s="27">
        <f t="shared" si="0"/>
        <v>1.383028738396632</v>
      </c>
      <c r="C18" s="27">
        <f t="shared" si="1"/>
        <v>1.8331129326562374</v>
      </c>
      <c r="D18" s="27">
        <f t="shared" si="2"/>
        <v>2.2621571627982053</v>
      </c>
      <c r="E18" s="27">
        <f t="shared" si="3"/>
        <v>2.8214379250258084</v>
      </c>
      <c r="F18" s="27">
        <f t="shared" si="4"/>
        <v>3.2498355415921263</v>
      </c>
      <c r="G18" s="27">
        <f t="shared" si="5"/>
        <v>4.2968056627299189</v>
      </c>
      <c r="H18" s="27">
        <f t="shared" si="6"/>
        <v>4.7809125859311381</v>
      </c>
    </row>
    <row r="19" spans="1:8" x14ac:dyDescent="0.15">
      <c r="A19" s="26">
        <v>10</v>
      </c>
      <c r="B19" s="27">
        <f t="shared" si="0"/>
        <v>1.3721836411103363</v>
      </c>
      <c r="C19" s="27">
        <f t="shared" si="1"/>
        <v>1.812461122811676</v>
      </c>
      <c r="D19" s="27">
        <f t="shared" si="2"/>
        <v>2.2281388519862744</v>
      </c>
      <c r="E19" s="27">
        <f t="shared" si="3"/>
        <v>2.7637694581126966</v>
      </c>
      <c r="F19" s="27">
        <f t="shared" si="4"/>
        <v>3.1692726726169518</v>
      </c>
      <c r="G19" s="27">
        <f t="shared" si="5"/>
        <v>4.1437004940465902</v>
      </c>
      <c r="H19" s="27">
        <f t="shared" si="6"/>
        <v>4.586893858702636</v>
      </c>
    </row>
    <row r="20" spans="1:8" x14ac:dyDescent="0.15">
      <c r="A20" s="26">
        <v>11</v>
      </c>
      <c r="B20" s="27">
        <f t="shared" si="0"/>
        <v>1.3634303180205409</v>
      </c>
      <c r="C20" s="27">
        <f t="shared" si="1"/>
        <v>1.7958848187040437</v>
      </c>
      <c r="D20" s="27">
        <f t="shared" si="2"/>
        <v>2.2009851600916384</v>
      </c>
      <c r="E20" s="27">
        <f t="shared" si="3"/>
        <v>2.7180791838138614</v>
      </c>
      <c r="F20" s="27">
        <f t="shared" si="4"/>
        <v>3.1058065155392809</v>
      </c>
      <c r="G20" s="27">
        <f t="shared" si="5"/>
        <v>4.0247010376307388</v>
      </c>
      <c r="H20" s="27">
        <f t="shared" si="6"/>
        <v>4.4369793382344493</v>
      </c>
    </row>
    <row r="21" spans="1:8" x14ac:dyDescent="0.15">
      <c r="A21" s="26">
        <v>12</v>
      </c>
      <c r="B21" s="27">
        <f t="shared" si="0"/>
        <v>1.3562173340232047</v>
      </c>
      <c r="C21" s="27">
        <f t="shared" si="1"/>
        <v>1.7822875556493194</v>
      </c>
      <c r="D21" s="27">
        <f t="shared" si="2"/>
        <v>2.1788128296672284</v>
      </c>
      <c r="E21" s="27">
        <f t="shared" si="3"/>
        <v>2.6809979931209149</v>
      </c>
      <c r="F21" s="27">
        <f t="shared" si="4"/>
        <v>3.0545395893929017</v>
      </c>
      <c r="G21" s="27">
        <f t="shared" si="5"/>
        <v>3.9296332646264918</v>
      </c>
      <c r="H21" s="27">
        <f t="shared" si="6"/>
        <v>4.3177912836061845</v>
      </c>
    </row>
    <row r="22" spans="1:8" x14ac:dyDescent="0.15">
      <c r="A22" s="26">
        <v>13</v>
      </c>
      <c r="B22" s="27">
        <f t="shared" si="0"/>
        <v>1.3501712887800554</v>
      </c>
      <c r="C22" s="27">
        <f t="shared" si="1"/>
        <v>1.7709333959868729</v>
      </c>
      <c r="D22" s="27">
        <f t="shared" si="2"/>
        <v>2.1603686564627926</v>
      </c>
      <c r="E22" s="27">
        <f t="shared" si="3"/>
        <v>2.650308837912192</v>
      </c>
      <c r="F22" s="27">
        <f t="shared" si="4"/>
        <v>3.0122758387165782</v>
      </c>
      <c r="G22" s="27">
        <f t="shared" si="5"/>
        <v>3.8519823911683879</v>
      </c>
      <c r="H22" s="27">
        <f t="shared" si="6"/>
        <v>4.2208317277071208</v>
      </c>
    </row>
    <row r="23" spans="1:8" x14ac:dyDescent="0.15">
      <c r="A23" s="26">
        <v>14</v>
      </c>
      <c r="B23" s="27">
        <f t="shared" si="0"/>
        <v>1.3450303744546506</v>
      </c>
      <c r="C23" s="27">
        <f t="shared" si="1"/>
        <v>1.7613101357748921</v>
      </c>
      <c r="D23" s="27">
        <f t="shared" si="2"/>
        <v>2.1447866879178044</v>
      </c>
      <c r="E23" s="27">
        <f t="shared" si="3"/>
        <v>2.6244940675900517</v>
      </c>
      <c r="F23" s="27">
        <f t="shared" si="4"/>
        <v>2.9768427343708348</v>
      </c>
      <c r="G23" s="27">
        <f t="shared" si="5"/>
        <v>3.7873902375233461</v>
      </c>
      <c r="H23" s="27">
        <f t="shared" si="6"/>
        <v>4.1404541127382029</v>
      </c>
    </row>
    <row r="24" spans="1:8" x14ac:dyDescent="0.15">
      <c r="A24" s="26">
        <v>15</v>
      </c>
      <c r="B24" s="27">
        <f t="shared" si="0"/>
        <v>1.3406056078504547</v>
      </c>
      <c r="C24" s="27">
        <f t="shared" si="1"/>
        <v>1.7530503556925723</v>
      </c>
      <c r="D24" s="27">
        <f t="shared" si="2"/>
        <v>2.1314495455597742</v>
      </c>
      <c r="E24" s="27">
        <f t="shared" si="3"/>
        <v>2.6024802950111221</v>
      </c>
      <c r="F24" s="27">
        <f t="shared" si="4"/>
        <v>2.9467128834752381</v>
      </c>
      <c r="G24" s="27">
        <f t="shared" si="5"/>
        <v>3.7328344253108998</v>
      </c>
      <c r="H24" s="27">
        <f t="shared" si="6"/>
        <v>4.0727651959037905</v>
      </c>
    </row>
    <row r="25" spans="1:8" x14ac:dyDescent="0.15">
      <c r="A25" s="26">
        <v>16</v>
      </c>
      <c r="B25" s="27">
        <f t="shared" si="0"/>
        <v>1.3367571673273144</v>
      </c>
      <c r="C25" s="27">
        <f t="shared" si="1"/>
        <v>1.7458836762762506</v>
      </c>
      <c r="D25" s="27">
        <f t="shared" si="2"/>
        <v>2.119905299221255</v>
      </c>
      <c r="E25" s="27">
        <f t="shared" si="3"/>
        <v>2.5834871852759917</v>
      </c>
      <c r="F25" s="27">
        <f t="shared" si="4"/>
        <v>2.9207816224251002</v>
      </c>
      <c r="G25" s="27">
        <f t="shared" si="5"/>
        <v>3.6861547926860139</v>
      </c>
      <c r="H25" s="27">
        <f t="shared" si="6"/>
        <v>4.0149963271840559</v>
      </c>
    </row>
    <row r="26" spans="1:8" x14ac:dyDescent="0.15">
      <c r="A26" s="26">
        <v>17</v>
      </c>
      <c r="B26" s="27">
        <f t="shared" si="0"/>
        <v>1.3333793897216262</v>
      </c>
      <c r="C26" s="27">
        <f t="shared" si="1"/>
        <v>1.7396067260750732</v>
      </c>
      <c r="D26" s="27">
        <f t="shared" si="2"/>
        <v>2.109815577833317</v>
      </c>
      <c r="E26" s="27">
        <f t="shared" si="3"/>
        <v>2.5669339837247178</v>
      </c>
      <c r="F26" s="27">
        <f t="shared" si="4"/>
        <v>2.8982305196774178</v>
      </c>
      <c r="G26" s="27">
        <f t="shared" si="5"/>
        <v>3.6457673800784094</v>
      </c>
      <c r="H26" s="27">
        <f t="shared" si="6"/>
        <v>3.9651262721190315</v>
      </c>
    </row>
    <row r="27" spans="1:8" x14ac:dyDescent="0.15">
      <c r="A27" s="26">
        <v>18</v>
      </c>
      <c r="B27" s="27">
        <f t="shared" si="0"/>
        <v>1.3303909435699084</v>
      </c>
      <c r="C27" s="27">
        <f t="shared" si="1"/>
        <v>1.7340636066175394</v>
      </c>
      <c r="D27" s="27">
        <f t="shared" si="2"/>
        <v>2.1009220402410378</v>
      </c>
      <c r="E27" s="27">
        <f t="shared" si="3"/>
        <v>2.552379630182251</v>
      </c>
      <c r="F27" s="27">
        <f t="shared" si="4"/>
        <v>2.8784404727386073</v>
      </c>
      <c r="G27" s="27">
        <f t="shared" si="5"/>
        <v>3.6104848848250937</v>
      </c>
      <c r="H27" s="27">
        <f t="shared" si="6"/>
        <v>3.9216458250851596</v>
      </c>
    </row>
    <row r="28" spans="1:8" x14ac:dyDescent="0.15">
      <c r="A28" s="26">
        <v>19</v>
      </c>
      <c r="B28" s="27">
        <f t="shared" si="0"/>
        <v>1.3277282090267981</v>
      </c>
      <c r="C28" s="27">
        <f t="shared" si="1"/>
        <v>1.7291328115213698</v>
      </c>
      <c r="D28" s="27">
        <f t="shared" si="2"/>
        <v>2.0930240544083096</v>
      </c>
      <c r="E28" s="27">
        <f t="shared" si="3"/>
        <v>2.5394831906239612</v>
      </c>
      <c r="F28" s="27">
        <f t="shared" si="4"/>
        <v>2.8609346064649799</v>
      </c>
      <c r="G28" s="27">
        <f t="shared" si="5"/>
        <v>3.5794001489547163</v>
      </c>
      <c r="H28" s="27">
        <f t="shared" si="6"/>
        <v>3.883405852592082</v>
      </c>
    </row>
    <row r="29" spans="1:8" x14ac:dyDescent="0.15">
      <c r="A29" s="26">
        <v>20</v>
      </c>
      <c r="B29" s="27">
        <f t="shared" si="0"/>
        <v>1.3253407069850465</v>
      </c>
      <c r="C29" s="27">
        <f t="shared" si="1"/>
        <v>1.7247182429207868</v>
      </c>
      <c r="D29" s="27">
        <f t="shared" si="2"/>
        <v>2.0859634472658648</v>
      </c>
      <c r="E29" s="27">
        <f t="shared" si="3"/>
        <v>2.5279770027415731</v>
      </c>
      <c r="F29" s="27">
        <f t="shared" si="4"/>
        <v>2.8453397097861091</v>
      </c>
      <c r="G29" s="27">
        <f t="shared" si="5"/>
        <v>3.5518083432033336</v>
      </c>
      <c r="H29" s="27">
        <f t="shared" si="6"/>
        <v>3.8495162749308265</v>
      </c>
    </row>
    <row r="30" spans="1:8" x14ac:dyDescent="0.15">
      <c r="A30" s="26">
        <v>21</v>
      </c>
      <c r="B30" s="27">
        <f t="shared" si="0"/>
        <v>1.3231878738651732</v>
      </c>
      <c r="C30" s="27">
        <f t="shared" si="1"/>
        <v>1.7207429028118781</v>
      </c>
      <c r="D30" s="27">
        <f t="shared" si="2"/>
        <v>2.07961384472768</v>
      </c>
      <c r="E30" s="27">
        <f t="shared" si="3"/>
        <v>2.5176480160447423</v>
      </c>
      <c r="F30" s="27">
        <f t="shared" si="4"/>
        <v>2.8313595580230499</v>
      </c>
      <c r="G30" s="27">
        <f t="shared" si="5"/>
        <v>3.5271536688691771</v>
      </c>
      <c r="H30" s="27">
        <f t="shared" si="6"/>
        <v>3.8192771642744621</v>
      </c>
    </row>
    <row r="31" spans="1:8" x14ac:dyDescent="0.15">
      <c r="A31" s="26">
        <v>22</v>
      </c>
      <c r="B31" s="27">
        <f t="shared" si="0"/>
        <v>1.3212367416133624</v>
      </c>
      <c r="C31" s="27">
        <f t="shared" si="1"/>
        <v>1.7171443743802424</v>
      </c>
      <c r="D31" s="27">
        <f t="shared" si="2"/>
        <v>2.0738730679040258</v>
      </c>
      <c r="E31" s="27">
        <f t="shared" si="3"/>
        <v>2.5083245528990807</v>
      </c>
      <c r="F31" s="27">
        <f t="shared" si="4"/>
        <v>2.8187560606001436</v>
      </c>
      <c r="G31" s="27">
        <f t="shared" si="5"/>
        <v>3.5049920310846621</v>
      </c>
      <c r="H31" s="27">
        <f t="shared" si="6"/>
        <v>3.79213067169839</v>
      </c>
    </row>
    <row r="32" spans="1:8" x14ac:dyDescent="0.15">
      <c r="A32" s="26">
        <v>23</v>
      </c>
      <c r="B32" s="27">
        <f t="shared" si="0"/>
        <v>1.3194602398161621</v>
      </c>
      <c r="C32" s="27">
        <f t="shared" si="1"/>
        <v>1.7138715277470482</v>
      </c>
      <c r="D32" s="27">
        <f t="shared" si="2"/>
        <v>2.0686576104190491</v>
      </c>
      <c r="E32" s="27">
        <f t="shared" si="3"/>
        <v>2.4998667394946681</v>
      </c>
      <c r="F32" s="27">
        <f t="shared" si="4"/>
        <v>2.807335683769999</v>
      </c>
      <c r="G32" s="27">
        <f t="shared" si="5"/>
        <v>3.4849643749398127</v>
      </c>
      <c r="H32" s="27">
        <f t="shared" si="6"/>
        <v>3.7676268043117811</v>
      </c>
    </row>
    <row r="33" spans="1:8" x14ac:dyDescent="0.15">
      <c r="A33" s="26">
        <v>24</v>
      </c>
      <c r="B33" s="27">
        <f t="shared" si="0"/>
        <v>1.3178359336731498</v>
      </c>
      <c r="C33" s="27">
        <f t="shared" si="1"/>
        <v>1.7108820799094284</v>
      </c>
      <c r="D33" s="27">
        <f t="shared" si="2"/>
        <v>2.0638985616280254</v>
      </c>
      <c r="E33" s="27">
        <f t="shared" si="3"/>
        <v>2.492159473157757</v>
      </c>
      <c r="F33" s="27">
        <f t="shared" si="4"/>
        <v>2.7969395047744556</v>
      </c>
      <c r="G33" s="27">
        <f t="shared" si="5"/>
        <v>3.4667772980160274</v>
      </c>
      <c r="H33" s="27">
        <f t="shared" si="6"/>
        <v>3.7453986192900528</v>
      </c>
    </row>
    <row r="34" spans="1:8" x14ac:dyDescent="0.15">
      <c r="A34" s="26">
        <v>25</v>
      </c>
      <c r="B34" s="27">
        <f t="shared" si="0"/>
        <v>1.3163450726738706</v>
      </c>
      <c r="C34" s="27">
        <f t="shared" si="1"/>
        <v>1.7081407612518986</v>
      </c>
      <c r="D34" s="27">
        <f t="shared" si="2"/>
        <v>2.0595385527532977</v>
      </c>
      <c r="E34" s="27">
        <f t="shared" si="3"/>
        <v>2.485107175410763</v>
      </c>
      <c r="F34" s="27">
        <f t="shared" si="4"/>
        <v>2.7874358136769706</v>
      </c>
      <c r="G34" s="27">
        <f t="shared" si="5"/>
        <v>3.4501887269730638</v>
      </c>
      <c r="H34" s="27">
        <f t="shared" si="6"/>
        <v>3.7251439497286496</v>
      </c>
    </row>
    <row r="35" spans="1:8" x14ac:dyDescent="0.15">
      <c r="A35" s="26">
        <v>26</v>
      </c>
      <c r="B35" s="27">
        <f t="shared" si="0"/>
        <v>1.3149718642705173</v>
      </c>
      <c r="C35" s="27">
        <f t="shared" si="1"/>
        <v>1.7056179197592738</v>
      </c>
      <c r="D35" s="27">
        <f t="shared" si="2"/>
        <v>2.0555294386428731</v>
      </c>
      <c r="E35" s="27">
        <f t="shared" si="3"/>
        <v>2.4786298235912425</v>
      </c>
      <c r="F35" s="27">
        <f t="shared" si="4"/>
        <v>2.7787145333296839</v>
      </c>
      <c r="G35" s="27">
        <f t="shared" si="5"/>
        <v>3.4349971815631162</v>
      </c>
      <c r="H35" s="27">
        <f t="shared" si="6"/>
        <v>3.7066117434809116</v>
      </c>
    </row>
    <row r="36" spans="1:8" x14ac:dyDescent="0.15">
      <c r="A36" s="26">
        <v>27</v>
      </c>
      <c r="B36" s="27">
        <f t="shared" si="0"/>
        <v>1.3137029128292739</v>
      </c>
      <c r="C36" s="27">
        <f t="shared" si="1"/>
        <v>1.7032884457221271</v>
      </c>
      <c r="D36" s="27">
        <f t="shared" si="2"/>
        <v>2.0518305164802859</v>
      </c>
      <c r="E36" s="27">
        <f t="shared" si="3"/>
        <v>2.4726599119560069</v>
      </c>
      <c r="F36" s="27">
        <f t="shared" si="4"/>
        <v>2.770682957122212</v>
      </c>
      <c r="G36" s="27">
        <f t="shared" si="5"/>
        <v>3.4210336212293058</v>
      </c>
      <c r="H36" s="27">
        <f t="shared" si="6"/>
        <v>3.6895917134592362</v>
      </c>
    </row>
    <row r="37" spans="1:8" x14ac:dyDescent="0.15">
      <c r="A37" s="26">
        <v>28</v>
      </c>
      <c r="B37" s="27">
        <f t="shared" si="0"/>
        <v>1.3125267815926682</v>
      </c>
      <c r="C37" s="27">
        <f t="shared" si="1"/>
        <v>1.7011309342659326</v>
      </c>
      <c r="D37" s="27">
        <f t="shared" si="2"/>
        <v>2.0484071417952445</v>
      </c>
      <c r="E37" s="27">
        <f t="shared" si="3"/>
        <v>2.467140097967472</v>
      </c>
      <c r="F37" s="27">
        <f t="shared" si="4"/>
        <v>2.7632624554614447</v>
      </c>
      <c r="G37" s="27">
        <f t="shared" si="5"/>
        <v>3.4081551783533595</v>
      </c>
      <c r="H37" s="27">
        <f t="shared" si="6"/>
        <v>3.6739064007012763</v>
      </c>
    </row>
    <row r="38" spans="1:8" x14ac:dyDescent="0.15">
      <c r="A38" s="26">
        <v>29</v>
      </c>
      <c r="B38" s="27">
        <f t="shared" si="0"/>
        <v>1.3114336473015527</v>
      </c>
      <c r="C38" s="27">
        <f t="shared" si="1"/>
        <v>1.6991270265334986</v>
      </c>
      <c r="D38" s="27">
        <f t="shared" si="2"/>
        <v>2.0452296421327048</v>
      </c>
      <c r="E38" s="27">
        <f t="shared" si="3"/>
        <v>2.4620213601504126</v>
      </c>
      <c r="F38" s="27">
        <f t="shared" si="4"/>
        <v>2.7563859036706049</v>
      </c>
      <c r="G38" s="27">
        <f t="shared" si="5"/>
        <v>3.3962402883568026</v>
      </c>
      <c r="H38" s="27">
        <f t="shared" si="6"/>
        <v>3.659405019466333</v>
      </c>
    </row>
    <row r="39" spans="1:8" x14ac:dyDescent="0.15">
      <c r="A39" s="26">
        <v>30</v>
      </c>
      <c r="B39" s="27">
        <f t="shared" si="0"/>
        <v>1.3104150253913947</v>
      </c>
      <c r="C39" s="27">
        <f t="shared" si="1"/>
        <v>1.6972608865939587</v>
      </c>
      <c r="D39" s="27">
        <f t="shared" si="2"/>
        <v>2.0422724563012378</v>
      </c>
      <c r="E39" s="27">
        <f t="shared" si="3"/>
        <v>2.4572615424005915</v>
      </c>
      <c r="F39" s="27">
        <f t="shared" si="4"/>
        <v>2.7499956535672259</v>
      </c>
      <c r="G39" s="27">
        <f t="shared" si="5"/>
        <v>3.385184866829305</v>
      </c>
      <c r="H39" s="27">
        <f t="shared" si="6"/>
        <v>3.6459586350420214</v>
      </c>
    </row>
    <row r="40" spans="1:8" x14ac:dyDescent="0.15">
      <c r="A40" s="26">
        <v>31</v>
      </c>
      <c r="B40" s="27">
        <f t="shared" si="0"/>
        <v>1.3094635494946458</v>
      </c>
      <c r="C40" s="27">
        <f t="shared" si="1"/>
        <v>1.6955187825458664</v>
      </c>
      <c r="D40" s="27">
        <f t="shared" si="2"/>
        <v>2.0395134463964082</v>
      </c>
      <c r="E40" s="27">
        <f t="shared" si="3"/>
        <v>2.4528241934026456</v>
      </c>
      <c r="F40" s="27">
        <f t="shared" si="4"/>
        <v>2.7440419192942698</v>
      </c>
      <c r="G40" s="27">
        <f t="shared" si="5"/>
        <v>3.3748992804233033</v>
      </c>
      <c r="H40" s="27">
        <f t="shared" si="6"/>
        <v>3.633456349758331</v>
      </c>
    </row>
    <row r="41" spans="1:8" x14ac:dyDescent="0.15">
      <c r="A41" s="26">
        <v>32</v>
      </c>
      <c r="B41" s="27">
        <f t="shared" si="0"/>
        <v>1.3085727931295197</v>
      </c>
      <c r="C41" s="27">
        <f t="shared" si="1"/>
        <v>1.6938887483837093</v>
      </c>
      <c r="D41" s="27">
        <f t="shared" si="2"/>
        <v>2.0369333434601011</v>
      </c>
      <c r="E41" s="27">
        <f t="shared" si="3"/>
        <v>2.4486776336720522</v>
      </c>
      <c r="F41" s="27">
        <f t="shared" si="4"/>
        <v>2.7384814820121886</v>
      </c>
      <c r="G41" s="27">
        <f t="shared" si="5"/>
        <v>3.3653059258594324</v>
      </c>
      <c r="H41" s="27">
        <f t="shared" si="6"/>
        <v>3.6218022598674953</v>
      </c>
    </row>
    <row r="42" spans="1:8" x14ac:dyDescent="0.15">
      <c r="A42" s="26">
        <v>33</v>
      </c>
      <c r="B42" s="27">
        <f t="shared" ref="B42:B59" si="7">_xlfn.T.INV.2T($B$9*2,A42)</f>
        <v>1.3077371244508877</v>
      </c>
      <c r="C42" s="27">
        <f t="shared" ref="C42:C59" si="8">_xlfn.T.INV.2T($C$9*2,A42)</f>
        <v>1.6923603090303456</v>
      </c>
      <c r="D42" s="27">
        <f t="shared" ref="D42:D59" si="9">_xlfn.T.INV.2T($D$9*2,A42)</f>
        <v>2.0345152974493397</v>
      </c>
      <c r="E42" s="27">
        <f t="shared" ref="E42:E59" si="10">_xlfn.T.INV.2T($E$9*2,A42)</f>
        <v>2.4447941998078058</v>
      </c>
      <c r="F42" s="27">
        <f t="shared" ref="F42:F59" si="11">_xlfn.T.INV.2T($F$9*2,A42)</f>
        <v>2.733276642350837</v>
      </c>
      <c r="G42" s="27">
        <f t="shared" ref="G42:G59" si="12">_xlfn.T.INV.2T($G$9*2,A42)</f>
        <v>3.3563372793636281</v>
      </c>
      <c r="H42" s="27">
        <f t="shared" ref="H42:H59" si="13">_xlfn.T.INV.2T($H$9*2,A42)</f>
        <v>3.6109130076544274</v>
      </c>
    </row>
    <row r="43" spans="1:8" x14ac:dyDescent="0.15">
      <c r="A43" s="26">
        <v>34</v>
      </c>
      <c r="B43" s="27">
        <f t="shared" si="7"/>
        <v>1.3069515871264279</v>
      </c>
      <c r="C43" s="27">
        <f t="shared" si="8"/>
        <v>1.6909242551868542</v>
      </c>
      <c r="D43" s="27">
        <f t="shared" si="9"/>
        <v>2.0322445093177191</v>
      </c>
      <c r="E43" s="27">
        <f t="shared" si="10"/>
        <v>2.4411496279064839</v>
      </c>
      <c r="F43" s="27">
        <f t="shared" si="11"/>
        <v>2.7283943670707203</v>
      </c>
      <c r="G43" s="27">
        <f t="shared" si="12"/>
        <v>3.3479343133335262</v>
      </c>
      <c r="H43" s="27">
        <f t="shared" si="13"/>
        <v>3.6007157973864077</v>
      </c>
    </row>
    <row r="44" spans="1:8" x14ac:dyDescent="0.15">
      <c r="A44" s="26">
        <v>35</v>
      </c>
      <c r="B44" s="27">
        <f t="shared" si="7"/>
        <v>1.3062118020160358</v>
      </c>
      <c r="C44" s="27">
        <f t="shared" si="8"/>
        <v>1.6895724577802647</v>
      </c>
      <c r="D44" s="27">
        <f t="shared" si="9"/>
        <v>2.0301079282503438</v>
      </c>
      <c r="E44" s="27">
        <f t="shared" si="10"/>
        <v>2.4377225471437423</v>
      </c>
      <c r="F44" s="27">
        <f t="shared" si="11"/>
        <v>2.7238055892080912</v>
      </c>
      <c r="G44" s="27">
        <f t="shared" si="12"/>
        <v>3.3400452020985849</v>
      </c>
      <c r="H44" s="27">
        <f t="shared" si="13"/>
        <v>3.5911467758107785</v>
      </c>
    </row>
    <row r="45" spans="1:8" x14ac:dyDescent="0.15">
      <c r="A45" s="26">
        <v>36</v>
      </c>
      <c r="B45" s="27">
        <f t="shared" si="7"/>
        <v>1.3055138855362491</v>
      </c>
      <c r="C45" s="27">
        <f t="shared" si="8"/>
        <v>1.6882977141168172</v>
      </c>
      <c r="D45" s="27">
        <f t="shared" si="9"/>
        <v>2.028094000980452</v>
      </c>
      <c r="E45" s="27">
        <f t="shared" si="10"/>
        <v>2.4344940612311401</v>
      </c>
      <c r="F45" s="27">
        <f t="shared" si="11"/>
        <v>2.7194846304500082</v>
      </c>
      <c r="G45" s="27">
        <f t="shared" si="12"/>
        <v>3.3326242570625007</v>
      </c>
      <c r="H45" s="27">
        <f t="shared" si="13"/>
        <v>3.5821497014563373</v>
      </c>
    </row>
    <row r="46" spans="1:8" x14ac:dyDescent="0.15">
      <c r="A46" s="26">
        <v>37</v>
      </c>
      <c r="B46" s="27">
        <f t="shared" si="7"/>
        <v>1.3048543814976252</v>
      </c>
      <c r="C46" s="27">
        <f t="shared" si="8"/>
        <v>1.6870936195962629</v>
      </c>
      <c r="D46" s="27">
        <f t="shared" si="9"/>
        <v>2.026192463029111</v>
      </c>
      <c r="E46" s="27">
        <f t="shared" si="10"/>
        <v>2.4314474004646742</v>
      </c>
      <c r="F46" s="27">
        <f t="shared" si="11"/>
        <v>2.7154087215499887</v>
      </c>
      <c r="G46" s="27">
        <f t="shared" si="12"/>
        <v>3.3256310451969409</v>
      </c>
      <c r="H46" s="27">
        <f t="shared" si="13"/>
        <v>3.5736748444452058</v>
      </c>
    </row>
    <row r="47" spans="1:8" x14ac:dyDescent="0.15">
      <c r="A47" s="26">
        <v>38</v>
      </c>
      <c r="B47" s="27">
        <f t="shared" si="7"/>
        <v>1.3042302038905009</v>
      </c>
      <c r="C47" s="27">
        <f t="shared" si="8"/>
        <v>1.6859544601667387</v>
      </c>
      <c r="D47" s="27">
        <f t="shared" si="9"/>
        <v>2.0243941639119702</v>
      </c>
      <c r="E47" s="27">
        <f t="shared" si="10"/>
        <v>2.4285676308590882</v>
      </c>
      <c r="F47" s="27">
        <f t="shared" si="11"/>
        <v>2.711557601913082</v>
      </c>
      <c r="G47" s="27">
        <f t="shared" si="12"/>
        <v>3.3190296551103571</v>
      </c>
      <c r="H47" s="27">
        <f t="shared" si="13"/>
        <v>3.5656780715802339</v>
      </c>
    </row>
    <row r="48" spans="1:8" x14ac:dyDescent="0.15">
      <c r="A48" s="26">
        <v>39</v>
      </c>
      <c r="B48" s="27">
        <f t="shared" si="7"/>
        <v>1.3036385886212738</v>
      </c>
      <c r="C48" s="27">
        <f t="shared" si="8"/>
        <v>1.6848751217112248</v>
      </c>
      <c r="D48" s="27">
        <f t="shared" si="9"/>
        <v>2.0226909200367595</v>
      </c>
      <c r="E48" s="27">
        <f t="shared" si="10"/>
        <v>2.4258414097356304</v>
      </c>
      <c r="F48" s="27">
        <f t="shared" si="11"/>
        <v>2.7079131835176615</v>
      </c>
      <c r="G48" s="27">
        <f t="shared" si="12"/>
        <v>3.3127880826719012</v>
      </c>
      <c r="H48" s="27">
        <f t="shared" si="13"/>
        <v>3.5581200813327323</v>
      </c>
    </row>
    <row r="49" spans="1:8" x14ac:dyDescent="0.15">
      <c r="A49" s="26">
        <v>40</v>
      </c>
      <c r="B49" s="27">
        <f t="shared" si="7"/>
        <v>1.3030770526071962</v>
      </c>
      <c r="C49" s="27">
        <f t="shared" si="8"/>
        <v>1.6838510133356521</v>
      </c>
      <c r="D49" s="27">
        <f t="shared" si="9"/>
        <v>2.0210753903062737</v>
      </c>
      <c r="E49" s="27">
        <f t="shared" si="10"/>
        <v>2.4232567793348583</v>
      </c>
      <c r="F49" s="27">
        <f t="shared" si="11"/>
        <v>2.7044592674331631</v>
      </c>
      <c r="G49" s="27">
        <f t="shared" si="12"/>
        <v>3.3068777140858225</v>
      </c>
      <c r="H49" s="27">
        <f t="shared" si="13"/>
        <v>3.5509657608633112</v>
      </c>
    </row>
    <row r="50" spans="1:8" x14ac:dyDescent="0.15">
      <c r="A50" s="26">
        <v>41</v>
      </c>
      <c r="B50" s="27">
        <f t="shared" si="7"/>
        <v>1.3025433589533821</v>
      </c>
      <c r="C50" s="27">
        <f t="shared" si="8"/>
        <v>1.6828780021327077</v>
      </c>
      <c r="D50" s="27">
        <f t="shared" si="9"/>
        <v>2.0195409704413767</v>
      </c>
      <c r="E50" s="27">
        <f t="shared" si="10"/>
        <v>2.420802991729079</v>
      </c>
      <c r="F50" s="27">
        <f t="shared" si="11"/>
        <v>2.7011813035785219</v>
      </c>
      <c r="G50" s="27">
        <f t="shared" si="12"/>
        <v>3.3012728888594425</v>
      </c>
      <c r="H50" s="27">
        <f t="shared" si="13"/>
        <v>3.5441836429715834</v>
      </c>
    </row>
    <row r="51" spans="1:8" x14ac:dyDescent="0.15">
      <c r="A51" s="26">
        <v>42</v>
      </c>
      <c r="B51" s="27">
        <f t="shared" si="7"/>
        <v>1.3020354871825144</v>
      </c>
      <c r="C51" s="27">
        <f t="shared" si="8"/>
        <v>1.6819523574675355</v>
      </c>
      <c r="D51" s="27">
        <f t="shared" si="9"/>
        <v>2.0180817028184461</v>
      </c>
      <c r="E51" s="27">
        <f t="shared" si="10"/>
        <v>2.4184703596346364</v>
      </c>
      <c r="F51" s="27">
        <f t="shared" si="11"/>
        <v>2.6980661862199842</v>
      </c>
      <c r="G51" s="27">
        <f t="shared" si="12"/>
        <v>3.2959505286297239</v>
      </c>
      <c r="H51" s="27">
        <f t="shared" si="13"/>
        <v>3.5377454453274293</v>
      </c>
    </row>
    <row r="52" spans="1:8" x14ac:dyDescent="0.15">
      <c r="A52" s="26">
        <v>43</v>
      </c>
      <c r="B52" s="27">
        <f t="shared" si="7"/>
        <v>1.301551607682168</v>
      </c>
      <c r="C52" s="27">
        <f t="shared" si="8"/>
        <v>1.6810707032025196</v>
      </c>
      <c r="D52" s="27">
        <f t="shared" si="9"/>
        <v>2.0166921992278248</v>
      </c>
      <c r="E52" s="27">
        <f t="shared" si="10"/>
        <v>2.416250128762973</v>
      </c>
      <c r="F52" s="27">
        <f t="shared" si="11"/>
        <v>2.695102079157675</v>
      </c>
      <c r="G52" s="27">
        <f t="shared" si="12"/>
        <v>3.2908898205606181</v>
      </c>
      <c r="H52" s="27">
        <f t="shared" si="13"/>
        <v>3.5316256778080515</v>
      </c>
    </row>
    <row r="53" spans="1:8" x14ac:dyDescent="0.15">
      <c r="A53" s="26">
        <v>44</v>
      </c>
      <c r="B53" s="27">
        <f t="shared" si="7"/>
        <v>1.3010900596888011</v>
      </c>
      <c r="C53" s="27">
        <f t="shared" si="8"/>
        <v>1.680229976572116</v>
      </c>
      <c r="D53" s="27">
        <f t="shared" si="9"/>
        <v>2.0153675744437649</v>
      </c>
      <c r="E53" s="27">
        <f t="shared" si="10"/>
        <v>2.4141343681687393</v>
      </c>
      <c r="F53" s="27">
        <f t="shared" si="11"/>
        <v>2.6922782656930231</v>
      </c>
      <c r="G53" s="27">
        <f t="shared" si="12"/>
        <v>3.2860719461802881</v>
      </c>
      <c r="H53" s="27">
        <f t="shared" si="13"/>
        <v>3.5258013064871769</v>
      </c>
    </row>
    <row r="54" spans="1:8" x14ac:dyDescent="0.15">
      <c r="A54" s="26">
        <v>45</v>
      </c>
      <c r="B54" s="27">
        <f t="shared" si="7"/>
        <v>1.3006493322502373</v>
      </c>
      <c r="C54" s="27">
        <f t="shared" si="8"/>
        <v>1.6794273926523535</v>
      </c>
      <c r="D54" s="27">
        <f t="shared" si="9"/>
        <v>2.0141033888808457</v>
      </c>
      <c r="E54" s="27">
        <f t="shared" si="10"/>
        <v>2.4121158757033583</v>
      </c>
      <c r="F54" s="27">
        <f t="shared" si="11"/>
        <v>2.6895850193746429</v>
      </c>
      <c r="G54" s="27">
        <f t="shared" si="12"/>
        <v>3.2814798482316827</v>
      </c>
      <c r="H54" s="27">
        <f t="shared" si="13"/>
        <v>3.5202514649710976</v>
      </c>
    </row>
    <row r="55" spans="1:8" x14ac:dyDescent="0.15">
      <c r="A55" s="26">
        <v>46</v>
      </c>
      <c r="B55" s="27">
        <f t="shared" si="7"/>
        <v>1.3002280477069388</v>
      </c>
      <c r="C55" s="27">
        <f t="shared" si="8"/>
        <v>1.678660413556865</v>
      </c>
      <c r="D55" s="27">
        <f t="shared" si="9"/>
        <v>2.0128955989194299</v>
      </c>
      <c r="E55" s="27">
        <f t="shared" si="10"/>
        <v>2.4101880962013791</v>
      </c>
      <c r="F55" s="27">
        <f t="shared" si="11"/>
        <v>2.6870134922422171</v>
      </c>
      <c r="G55" s="27">
        <f t="shared" si="12"/>
        <v>3.2770980294646455</v>
      </c>
      <c r="H55" s="27">
        <f t="shared" si="13"/>
        <v>3.5149572054818057</v>
      </c>
    </row>
    <row r="56" spans="1:8" x14ac:dyDescent="0.15">
      <c r="A56" s="26">
        <v>47</v>
      </c>
      <c r="B56" s="27">
        <f t="shared" si="7"/>
        <v>1.2998249473116616</v>
      </c>
      <c r="C56" s="27">
        <f t="shared" si="8"/>
        <v>1.6779267216418625</v>
      </c>
      <c r="D56" s="27">
        <f t="shared" si="9"/>
        <v>2.0117405137297668</v>
      </c>
      <c r="E56" s="27">
        <f t="shared" si="10"/>
        <v>2.4083450504434252</v>
      </c>
      <c r="F56" s="27">
        <f t="shared" si="11"/>
        <v>2.6845556178665255</v>
      </c>
      <c r="G56" s="27">
        <f t="shared" si="12"/>
        <v>3.272912378380934</v>
      </c>
      <c r="H56" s="27">
        <f t="shared" si="13"/>
        <v>3.5099012834494778</v>
      </c>
    </row>
    <row r="57" spans="1:8" x14ac:dyDescent="0.15">
      <c r="A57" s="26">
        <v>48</v>
      </c>
      <c r="B57" s="27">
        <f t="shared" si="7"/>
        <v>1.2994388786713924</v>
      </c>
      <c r="C57" s="27">
        <f t="shared" si="8"/>
        <v>1.6772241961243386</v>
      </c>
      <c r="D57" s="27">
        <f t="shared" si="9"/>
        <v>2.0106347576242314</v>
      </c>
      <c r="E57" s="27">
        <f t="shared" si="10"/>
        <v>2.406581273275608</v>
      </c>
      <c r="F57" s="27">
        <f t="shared" si="11"/>
        <v>2.6822040269502154</v>
      </c>
      <c r="G57" s="27">
        <f t="shared" si="12"/>
        <v>3.2689100178140071</v>
      </c>
      <c r="H57" s="27">
        <f t="shared" si="13"/>
        <v>3.5050679704702019</v>
      </c>
    </row>
    <row r="58" spans="1:8" x14ac:dyDescent="0.15">
      <c r="A58" s="26">
        <v>49</v>
      </c>
      <c r="B58" s="27">
        <f t="shared" si="7"/>
        <v>1.2990687847477498</v>
      </c>
      <c r="C58" s="27">
        <f t="shared" si="8"/>
        <v>1.6765508926168529</v>
      </c>
      <c r="D58" s="27">
        <f t="shared" si="9"/>
        <v>2.0095752371292388</v>
      </c>
      <c r="E58" s="27">
        <f t="shared" si="10"/>
        <v>2.4048917595376684</v>
      </c>
      <c r="F58" s="27">
        <f t="shared" si="11"/>
        <v>2.6799519736315514</v>
      </c>
      <c r="G58" s="27">
        <f t="shared" si="12"/>
        <v>3.265079172928858</v>
      </c>
      <c r="H58" s="27">
        <f t="shared" si="13"/>
        <v>3.5004428913673662</v>
      </c>
    </row>
    <row r="59" spans="1:8" x14ac:dyDescent="0.15">
      <c r="A59" s="26">
        <v>50</v>
      </c>
      <c r="B59" s="27">
        <f t="shared" si="7"/>
        <v>1.2987136941948108</v>
      </c>
      <c r="C59" s="27">
        <f t="shared" si="8"/>
        <v>1.6759050251630967</v>
      </c>
      <c r="D59" s="27">
        <f t="shared" si="9"/>
        <v>2.0085591121007611</v>
      </c>
      <c r="E59" s="27">
        <f t="shared" si="10"/>
        <v>2.4032719166741709</v>
      </c>
      <c r="F59" s="27">
        <f t="shared" si="11"/>
        <v>2.6777932709408443</v>
      </c>
      <c r="G59" s="27">
        <f t="shared" si="12"/>
        <v>3.261409055798318</v>
      </c>
      <c r="H59" s="27">
        <f t="shared" si="13"/>
        <v>3.4960128818111396</v>
      </c>
    </row>
    <row r="60" spans="1:8" x14ac:dyDescent="0.15">
      <c r="A60" s="30" t="s">
        <v>146</v>
      </c>
      <c r="B60" s="31">
        <v>1.2815600311816895</v>
      </c>
      <c r="C60" s="31">
        <v>1.6448688649083159</v>
      </c>
      <c r="D60" s="31">
        <v>1.9599876512892953</v>
      </c>
      <c r="E60" s="31">
        <v>2.3263515820303953</v>
      </c>
      <c r="F60" s="31">
        <v>2.5758784581108571</v>
      </c>
      <c r="G60" s="31">
        <v>3.0903138000092731</v>
      </c>
      <c r="H60" s="31">
        <v>3.290624028005416</v>
      </c>
    </row>
    <row r="61" spans="1:8" ht="12" customHeight="1" x14ac:dyDescent="0.15">
      <c r="D61" s="19" t="s">
        <v>74</v>
      </c>
    </row>
    <row r="62" spans="1:8" ht="12" customHeight="1" x14ac:dyDescent="0.15">
      <c r="A62" s="25" t="s">
        <v>75</v>
      </c>
      <c r="B62" s="24">
        <v>0.2</v>
      </c>
      <c r="C62" s="24">
        <v>0.1</v>
      </c>
      <c r="D62" s="24">
        <v>0.05</v>
      </c>
      <c r="E62" s="24">
        <v>0.02</v>
      </c>
      <c r="F62" s="24">
        <v>0.01</v>
      </c>
      <c r="G62" s="24">
        <v>2E-3</v>
      </c>
      <c r="H62" s="24">
        <v>1E-3</v>
      </c>
    </row>
    <row r="63" spans="1:8" ht="12" customHeight="1" x14ac:dyDescent="0.15">
      <c r="D63" s="19" t="s">
        <v>40</v>
      </c>
    </row>
    <row r="64" spans="1:8" ht="12" customHeight="1" x14ac:dyDescent="0.15">
      <c r="A64" s="25" t="s">
        <v>75</v>
      </c>
      <c r="B64" s="24">
        <v>0.1</v>
      </c>
      <c r="C64" s="24">
        <v>0.05</v>
      </c>
      <c r="D64" s="24">
        <v>2.5000000000000001E-2</v>
      </c>
      <c r="E64" s="24">
        <v>0.01</v>
      </c>
      <c r="F64" s="24">
        <v>5.0000000000000001E-3</v>
      </c>
      <c r="G64" s="24">
        <v>1E-3</v>
      </c>
      <c r="H64" s="24">
        <v>5.0000000000000001E-4</v>
      </c>
    </row>
    <row r="65" spans="1:8" ht="12.25" customHeight="1" x14ac:dyDescent="0.15">
      <c r="A65" s="26">
        <v>51</v>
      </c>
      <c r="B65" s="27">
        <f t="shared" ref="B65:B96" si="14">_xlfn.T.INV.2T($B$9*2,A65)</f>
        <v>1.2983727128483706</v>
      </c>
      <c r="C65" s="27">
        <f t="shared" ref="C65:C96" si="15">_xlfn.T.INV.2T($C$9*2,A65)</f>
        <v>1.6752849504249088</v>
      </c>
      <c r="D65" s="27">
        <f t="shared" ref="D65:D96" si="16">_xlfn.T.INV.2T($D$9*2,A65)</f>
        <v>2.007583770315835</v>
      </c>
      <c r="E65" s="27">
        <f t="shared" ref="E65:E96" si="17">_xlfn.T.INV.2T($E$9*2,A65)</f>
        <v>2.4017175230846965</v>
      </c>
      <c r="F65" s="27">
        <f t="shared" ref="F65:F96" si="18">_xlfn.T.INV.2T($F$9*2,A65)</f>
        <v>2.6757222341106486</v>
      </c>
      <c r="G65" s="27">
        <f t="shared" ref="G65:G96" si="19">_xlfn.T.INV.2T($G$9*2,A65)</f>
        <v>3.2578897641780826</v>
      </c>
      <c r="H65" s="27">
        <f t="shared" ref="H65:H96" si="20">_xlfn.T.INV.2T($H$9*2,A65)</f>
        <v>3.4917658635339026</v>
      </c>
    </row>
    <row r="66" spans="1:8" ht="12.25" customHeight="1" x14ac:dyDescent="0.15">
      <c r="A66" s="26">
        <v>52</v>
      </c>
      <c r="B66" s="27">
        <f t="shared" si="14"/>
        <v>1.2980450162097479</v>
      </c>
      <c r="C66" s="27">
        <f t="shared" si="15"/>
        <v>1.6746891537260258</v>
      </c>
      <c r="D66" s="27">
        <f t="shared" si="16"/>
        <v>2.0066468050616861</v>
      </c>
      <c r="E66" s="27">
        <f t="shared" si="17"/>
        <v>2.4002246914183822</v>
      </c>
      <c r="F66" s="27">
        <f t="shared" si="18"/>
        <v>2.6737336306472206</v>
      </c>
      <c r="G66" s="27">
        <f t="shared" si="19"/>
        <v>3.2545121924845888</v>
      </c>
      <c r="H66" s="27">
        <f t="shared" si="20"/>
        <v>3.4876907346571904</v>
      </c>
    </row>
    <row r="67" spans="1:8" ht="12.25" customHeight="1" x14ac:dyDescent="0.15">
      <c r="A67" s="26">
        <v>53</v>
      </c>
      <c r="B67" s="27">
        <f t="shared" si="14"/>
        <v>1.2977298427910675</v>
      </c>
      <c r="C67" s="27">
        <f t="shared" si="15"/>
        <v>1.6741162367030993</v>
      </c>
      <c r="D67" s="27">
        <f t="shared" si="16"/>
        <v>2.0057459953178696</v>
      </c>
      <c r="E67" s="27">
        <f t="shared" si="17"/>
        <v>2.3987898361414404</v>
      </c>
      <c r="F67" s="27">
        <f t="shared" si="18"/>
        <v>2.6718226362410036</v>
      </c>
      <c r="G67" s="27">
        <f t="shared" si="19"/>
        <v>3.2512679532939792</v>
      </c>
      <c r="H67" s="27">
        <f t="shared" si="20"/>
        <v>3.4837772730384478</v>
      </c>
    </row>
    <row r="68" spans="1:8" ht="12.25" customHeight="1" x14ac:dyDescent="0.15">
      <c r="A68" s="26">
        <v>54</v>
      </c>
      <c r="B68" s="27">
        <f t="shared" si="14"/>
        <v>1.2974264882090694</v>
      </c>
      <c r="C68" s="27">
        <f t="shared" si="15"/>
        <v>1.6735649063521589</v>
      </c>
      <c r="D68" s="27">
        <f t="shared" si="16"/>
        <v>2.0048792881880577</v>
      </c>
      <c r="E68" s="27">
        <f t="shared" si="17"/>
        <v>2.3974096448084543</v>
      </c>
      <c r="F68" s="27">
        <f t="shared" si="18"/>
        <v>2.6699847957348912</v>
      </c>
      <c r="G68" s="27">
        <f t="shared" si="19"/>
        <v>3.2481493079401305</v>
      </c>
      <c r="H68" s="27">
        <f t="shared" si="20"/>
        <v>3.4800160508702764</v>
      </c>
    </row>
    <row r="69" spans="1:8" ht="12.25" customHeight="1" x14ac:dyDescent="0.15">
      <c r="A69" s="26">
        <v>55</v>
      </c>
      <c r="B69" s="27">
        <f t="shared" si="14"/>
        <v>1.2971342999309419</v>
      </c>
      <c r="C69" s="27">
        <f t="shared" si="15"/>
        <v>1.673033965289912</v>
      </c>
      <c r="D69" s="27">
        <f t="shared" si="16"/>
        <v>2.0040447832891455</v>
      </c>
      <c r="E69" s="27">
        <f t="shared" si="17"/>
        <v>2.3960810525533165</v>
      </c>
      <c r="F69" s="27">
        <f t="shared" si="18"/>
        <v>2.6682159884861933</v>
      </c>
      <c r="G69" s="27">
        <f t="shared" si="19"/>
        <v>3.2451491050050736</v>
      </c>
      <c r="H69" s="27">
        <f t="shared" si="20"/>
        <v>3.4763983590335892</v>
      </c>
    </row>
    <row r="70" spans="1:8" ht="12.25" customHeight="1" x14ac:dyDescent="0.15">
      <c r="A70" s="26">
        <v>56</v>
      </c>
      <c r="B70" s="27">
        <f t="shared" si="14"/>
        <v>1.2968526725898011</v>
      </c>
      <c r="C70" s="27">
        <f t="shared" si="15"/>
        <v>1.6725223030755785</v>
      </c>
      <c r="D70" s="27">
        <f t="shared" si="16"/>
        <v>2.0032407188478727</v>
      </c>
      <c r="E70" s="27">
        <f t="shared" si="17"/>
        <v>2.3948012193865678</v>
      </c>
      <c r="F70" s="27">
        <f t="shared" si="18"/>
        <v>2.6665123975560618</v>
      </c>
      <c r="G70" s="27">
        <f t="shared" si="19"/>
        <v>3.2422607256746008</v>
      </c>
      <c r="H70" s="27">
        <f t="shared" si="20"/>
        <v>3.4729161399299082</v>
      </c>
    </row>
    <row r="71" spans="1:8" ht="12.25" customHeight="1" x14ac:dyDescent="0.15">
      <c r="A71" s="26">
        <v>57</v>
      </c>
      <c r="B71" s="27">
        <f t="shared" si="14"/>
        <v>1.2965810437990108</v>
      </c>
      <c r="C71" s="27">
        <f t="shared" si="15"/>
        <v>1.6720288884609551</v>
      </c>
      <c r="D71" s="27">
        <f t="shared" si="16"/>
        <v>2.0024654592910065</v>
      </c>
      <c r="E71" s="27">
        <f t="shared" si="17"/>
        <v>2.3935675099455547</v>
      </c>
      <c r="F71" s="27">
        <f t="shared" si="18"/>
        <v>2.6648704822419695</v>
      </c>
      <c r="G71" s="27">
        <f t="shared" si="19"/>
        <v>3.2394780350817478</v>
      </c>
      <c r="H71" s="27">
        <f t="shared" si="20"/>
        <v>3.4695619277047838</v>
      </c>
    </row>
    <row r="72" spans="1:8" ht="12.25" customHeight="1" x14ac:dyDescent="0.15">
      <c r="A72" s="26">
        <v>58</v>
      </c>
      <c r="B72" s="27">
        <f t="shared" si="14"/>
        <v>1.2963188904044187</v>
      </c>
      <c r="C72" s="27">
        <f t="shared" si="15"/>
        <v>1.671552762454859</v>
      </c>
      <c r="D72" s="27">
        <f t="shared" si="16"/>
        <v>2.0017174841452352</v>
      </c>
      <c r="E72" s="27">
        <f t="shared" si="17"/>
        <v>2.3923774753936824</v>
      </c>
      <c r="F72" s="27">
        <f t="shared" si="18"/>
        <v>2.663286953537658</v>
      </c>
      <c r="G72" s="27">
        <f t="shared" si="19"/>
        <v>3.2367953388866737</v>
      </c>
      <c r="H72" s="27">
        <f t="shared" si="20"/>
        <v>3.4663287949310115</v>
      </c>
    </row>
    <row r="73" spans="1:8" ht="12.25" customHeight="1" x14ac:dyDescent="0.15">
      <c r="A73" s="26">
        <v>59</v>
      </c>
      <c r="B73" s="27">
        <f t="shared" si="14"/>
        <v>1.2960657251220524</v>
      </c>
      <c r="C73" s="27">
        <f t="shared" si="15"/>
        <v>1.6710930321038957</v>
      </c>
      <c r="D73" s="27">
        <f t="shared" si="16"/>
        <v>2.0009953780882688</v>
      </c>
      <c r="E73" s="27">
        <f t="shared" si="17"/>
        <v>2.3912288372073567</v>
      </c>
      <c r="F73" s="27">
        <f t="shared" si="18"/>
        <v>2.6617587521629682</v>
      </c>
      <c r="G73" s="27">
        <f t="shared" si="19"/>
        <v>3.2342073444472934</v>
      </c>
      <c r="H73" s="27">
        <f t="shared" si="20"/>
        <v>3.463210304951942</v>
      </c>
    </row>
    <row r="74" spans="1:8" ht="12.25" customHeight="1" x14ac:dyDescent="0.15">
      <c r="A74" s="26">
        <v>60</v>
      </c>
      <c r="B74" s="27">
        <f t="shared" si="14"/>
        <v>1.2958210935157342</v>
      </c>
      <c r="C74" s="27">
        <f t="shared" si="15"/>
        <v>1.6706488649046354</v>
      </c>
      <c r="D74" s="27">
        <f t="shared" si="16"/>
        <v>2.0002978220142609</v>
      </c>
      <c r="E74" s="27">
        <f t="shared" si="17"/>
        <v>2.3901194726249129</v>
      </c>
      <c r="F74" s="27">
        <f t="shared" si="18"/>
        <v>2.6602830288550381</v>
      </c>
      <c r="G74" s="27">
        <f t="shared" si="19"/>
        <v>3.2317091260243584</v>
      </c>
      <c r="H74" s="27">
        <f t="shared" si="20"/>
        <v>3.4602004691963555</v>
      </c>
    </row>
    <row r="75" spans="1:8" ht="12.25" customHeight="1" x14ac:dyDescent="0.15">
      <c r="A75" s="26">
        <v>61</v>
      </c>
      <c r="B75" s="27">
        <f t="shared" si="14"/>
        <v>1.2955845712752145</v>
      </c>
      <c r="C75" s="27">
        <f t="shared" si="15"/>
        <v>1.6702194837737363</v>
      </c>
      <c r="D75" s="27">
        <f t="shared" si="16"/>
        <v>1.9996235849949404</v>
      </c>
      <c r="E75" s="27">
        <f t="shared" si="17"/>
        <v>2.3890474015620957</v>
      </c>
      <c r="F75" s="27">
        <f t="shared" si="18"/>
        <v>2.6588571266539258</v>
      </c>
      <c r="G75" s="27">
        <f t="shared" si="19"/>
        <v>3.2292960935404746</v>
      </c>
      <c r="H75" s="27">
        <f t="shared" si="20"/>
        <v>3.4572937088704121</v>
      </c>
    </row>
    <row r="76" spans="1:8" ht="12.25" customHeight="1" x14ac:dyDescent="0.15">
      <c r="A76" s="26">
        <v>62</v>
      </c>
      <c r="B76" s="27">
        <f t="shared" si="14"/>
        <v>1.2953557617605702</v>
      </c>
      <c r="C76" s="27">
        <f t="shared" si="15"/>
        <v>1.6698041625120112</v>
      </c>
      <c r="D76" s="27">
        <f t="shared" si="16"/>
        <v>1.9989715170333793</v>
      </c>
      <c r="E76" s="27">
        <f t="shared" si="17"/>
        <v>2.3880107748245543</v>
      </c>
      <c r="F76" s="27">
        <f t="shared" si="18"/>
        <v>2.6574785649511572</v>
      </c>
      <c r="G76" s="27">
        <f t="shared" si="19"/>
        <v>3.2269639644767083</v>
      </c>
      <c r="H76" s="27">
        <f t="shared" si="20"/>
        <v>3.45448482051202</v>
      </c>
    </row>
    <row r="77" spans="1:8" ht="12.25" customHeight="1" x14ac:dyDescent="0.15">
      <c r="A77" s="26">
        <v>63</v>
      </c>
      <c r="B77" s="27">
        <f t="shared" si="14"/>
        <v>1.2951342937828914</v>
      </c>
      <c r="C77" s="27">
        <f t="shared" si="15"/>
        <v>1.6694022217068125</v>
      </c>
      <c r="D77" s="27">
        <f t="shared" si="16"/>
        <v>1.9983405425207412</v>
      </c>
      <c r="E77" s="27">
        <f t="shared" si="17"/>
        <v>2.3870078634697958</v>
      </c>
      <c r="F77" s="27">
        <f t="shared" si="18"/>
        <v>2.6561450250998613</v>
      </c>
      <c r="G77" s="27">
        <f t="shared" si="19"/>
        <v>3.2247087385453925</v>
      </c>
      <c r="H77" s="27">
        <f t="shared" si="20"/>
        <v>3.4517689449609983</v>
      </c>
    </row>
    <row r="78" spans="1:8" ht="12.25" customHeight="1" x14ac:dyDescent="0.15">
      <c r="A78" s="26">
        <v>64</v>
      </c>
      <c r="B78" s="27">
        <f t="shared" si="14"/>
        <v>1.2949198195951703</v>
      </c>
      <c r="C78" s="27">
        <f t="shared" si="15"/>
        <v>1.6690130250240895</v>
      </c>
      <c r="D78" s="27">
        <f t="shared" si="16"/>
        <v>1.9977296543176954</v>
      </c>
      <c r="E78" s="27">
        <f t="shared" si="17"/>
        <v>2.3860370491899459</v>
      </c>
      <c r="F78" s="27">
        <f t="shared" si="18"/>
        <v>2.6548543374110856</v>
      </c>
      <c r="G78" s="27">
        <f t="shared" si="19"/>
        <v>3.2225266748244121</v>
      </c>
      <c r="H78" s="27">
        <f t="shared" si="20"/>
        <v>3.4491415393563734</v>
      </c>
    </row>
    <row r="79" spans="1:8" ht="12.25" customHeight="1" x14ac:dyDescent="0.15">
      <c r="A79" s="26">
        <v>65</v>
      </c>
      <c r="B79" s="27">
        <f t="shared" si="14"/>
        <v>1.294712013070648</v>
      </c>
      <c r="C79" s="27">
        <f t="shared" si="15"/>
        <v>1.6686359758475535</v>
      </c>
      <c r="D79" s="27">
        <f t="shared" si="16"/>
        <v>1.9971379083920051</v>
      </c>
      <c r="E79" s="27">
        <f t="shared" si="17"/>
        <v>2.3850968156028203</v>
      </c>
      <c r="F79" s="27">
        <f t="shared" si="18"/>
        <v>2.6536044693829237</v>
      </c>
      <c r="G79" s="27">
        <f t="shared" si="19"/>
        <v>3.2204142710783827</v>
      </c>
      <c r="H79" s="27">
        <f t="shared" si="20"/>
        <v>3.4465983518219709</v>
      </c>
    </row>
    <row r="80" spans="1:8" ht="12.25" customHeight="1" x14ac:dyDescent="0.15">
      <c r="A80" s="26">
        <v>66</v>
      </c>
      <c r="B80" s="27">
        <f t="shared" si="14"/>
        <v>1.2945105680482982</v>
      </c>
      <c r="C80" s="27">
        <f t="shared" si="15"/>
        <v>1.6682705142276302</v>
      </c>
      <c r="D80" s="27">
        <f t="shared" si="16"/>
        <v>1.996564418952312</v>
      </c>
      <c r="E80" s="27">
        <f t="shared" si="17"/>
        <v>2.3841857403528368</v>
      </c>
      <c r="F80" s="27">
        <f t="shared" si="18"/>
        <v>2.6523935150283151</v>
      </c>
      <c r="G80" s="27">
        <f t="shared" si="19"/>
        <v>3.2183682450266757</v>
      </c>
      <c r="H80" s="27">
        <f t="shared" si="20"/>
        <v>3.4441353985440073</v>
      </c>
    </row>
    <row r="81" spans="1:8" ht="12.25" customHeight="1" x14ac:dyDescent="0.15">
      <c r="A81" s="26">
        <v>67</v>
      </c>
      <c r="B81" s="27">
        <f t="shared" si="14"/>
        <v>1.2943151968280293</v>
      </c>
      <c r="C81" s="27">
        <f t="shared" si="15"/>
        <v>1.6679161141074239</v>
      </c>
      <c r="D81" s="27">
        <f t="shared" si="16"/>
        <v>1.9960083540252964</v>
      </c>
      <c r="E81" s="27">
        <f t="shared" si="17"/>
        <v>2.3833024879351985</v>
      </c>
      <c r="F81" s="27">
        <f t="shared" si="18"/>
        <v>2.6512196851836585</v>
      </c>
      <c r="G81" s="27">
        <f t="shared" si="19"/>
        <v>3.2163855173477316</v>
      </c>
      <c r="H81" s="27">
        <f t="shared" si="20"/>
        <v>3.4417489429811972</v>
      </c>
    </row>
    <row r="82" spans="1:8" ht="12.25" customHeight="1" x14ac:dyDescent="0.15">
      <c r="A82" s="26">
        <v>68</v>
      </c>
      <c r="B82" s="27">
        <f t="shared" si="14"/>
        <v>1.2941256287999623</v>
      </c>
      <c r="C82" s="27">
        <f t="shared" si="15"/>
        <v>1.6675722807967104</v>
      </c>
      <c r="D82" s="27">
        <f t="shared" si="16"/>
        <v>1.9954689314298424</v>
      </c>
      <c r="E82" s="27">
        <f t="shared" si="17"/>
        <v>2.3824458031673097</v>
      </c>
      <c r="F82" s="27">
        <f t="shared" si="18"/>
        <v>2.6500812986947286</v>
      </c>
      <c r="G82" s="27">
        <f t="shared" si="19"/>
        <v>3.214463196234886</v>
      </c>
      <c r="H82" s="27">
        <f t="shared" si="20"/>
        <v>3.439435476979499</v>
      </c>
    </row>
    <row r="83" spans="1:8" ht="12.25" customHeight="1" x14ac:dyDescent="0.15">
      <c r="A83" s="26">
        <v>69</v>
      </c>
      <c r="B83" s="27">
        <f t="shared" si="14"/>
        <v>1.2939416091940081</v>
      </c>
      <c r="C83" s="27">
        <f t="shared" si="15"/>
        <v>1.6672385486685533</v>
      </c>
      <c r="D83" s="27">
        <f t="shared" si="16"/>
        <v>1.9949454151072357</v>
      </c>
      <c r="E83" s="27">
        <f t="shared" si="17"/>
        <v>2.3816145052403046</v>
      </c>
      <c r="F83" s="27">
        <f t="shared" si="18"/>
        <v>2.6489767743886254</v>
      </c>
      <c r="G83" s="27">
        <f t="shared" si="19"/>
        <v>3.2125985633409102</v>
      </c>
      <c r="H83" s="27">
        <f t="shared" si="20"/>
        <v>3.4371917035910893</v>
      </c>
    </row>
    <row r="84" spans="1:8" ht="12.25" customHeight="1" x14ac:dyDescent="0.15">
      <c r="A84" s="26">
        <v>70</v>
      </c>
      <c r="B84" s="27">
        <f t="shared" si="14"/>
        <v>1.2937628979376541</v>
      </c>
      <c r="C84" s="27">
        <f t="shared" si="15"/>
        <v>1.6669144790559576</v>
      </c>
      <c r="D84" s="27">
        <f t="shared" si="16"/>
        <v>1.9944371117711854</v>
      </c>
      <c r="E84" s="27">
        <f t="shared" si="17"/>
        <v>2.3808074822914329</v>
      </c>
      <c r="F84" s="27">
        <f t="shared" si="18"/>
        <v>2.6479046237511512</v>
      </c>
      <c r="G84" s="27">
        <f t="shared" si="19"/>
        <v>3.21078906096783</v>
      </c>
      <c r="H84" s="27">
        <f t="shared" si="20"/>
        <v>3.4350145214208152</v>
      </c>
    </row>
    <row r="85" spans="1:8" ht="12.25" customHeight="1" x14ac:dyDescent="0.15">
      <c r="A85" s="26">
        <v>71</v>
      </c>
      <c r="B85" s="27">
        <f t="shared" si="14"/>
        <v>1.293589268611236</v>
      </c>
      <c r="C85" s="27">
        <f t="shared" si="15"/>
        <v>1.6665996583285314</v>
      </c>
      <c r="D85" s="27">
        <f t="shared" si="16"/>
        <v>1.9939433678456266</v>
      </c>
      <c r="E85" s="27">
        <f t="shared" si="17"/>
        <v>2.38002368644488</v>
      </c>
      <c r="F85" s="27">
        <f t="shared" si="18"/>
        <v>2.6468634442383925</v>
      </c>
      <c r="G85" s="27">
        <f t="shared" si="19"/>
        <v>3.2090322803751996</v>
      </c>
      <c r="H85" s="27">
        <f t="shared" si="20"/>
        <v>3.4329010103440991</v>
      </c>
    </row>
    <row r="86" spans="1:8" ht="12.25" customHeight="1" x14ac:dyDescent="0.15">
      <c r="A86" s="26">
        <v>72</v>
      </c>
      <c r="B86" s="27">
        <f t="shared" si="14"/>
        <v>1.2934205074909773</v>
      </c>
      <c r="C86" s="27">
        <f t="shared" si="15"/>
        <v>1.6662936961315378</v>
      </c>
      <c r="D86" s="27">
        <f t="shared" si="16"/>
        <v>1.9934635666618719</v>
      </c>
      <c r="E86" s="27">
        <f t="shared" si="17"/>
        <v>2.3792621292745078</v>
      </c>
      <c r="F86" s="27">
        <f t="shared" si="18"/>
        <v>2.6458519131593259</v>
      </c>
      <c r="G86" s="27">
        <f t="shared" si="19"/>
        <v>3.2073259510945187</v>
      </c>
      <c r="H86" s="27">
        <f t="shared" si="20"/>
        <v>3.430848418458126</v>
      </c>
    </row>
    <row r="87" spans="1:8" ht="12.25" customHeight="1" x14ac:dyDescent="0.15">
      <c r="A87" s="26">
        <v>73</v>
      </c>
      <c r="B87" s="27">
        <f t="shared" si="14"/>
        <v>1.2932564126714845</v>
      </c>
      <c r="C87" s="27">
        <f t="shared" si="15"/>
        <v>1.6659962237714305</v>
      </c>
      <c r="D87" s="27">
        <f t="shared" si="16"/>
        <v>1.9929971258898567</v>
      </c>
      <c r="E87" s="27">
        <f t="shared" si="17"/>
        <v>2.3785218776472683</v>
      </c>
      <c r="F87" s="27">
        <f t="shared" si="18"/>
        <v>2.6448687820733814</v>
      </c>
      <c r="G87" s="27">
        <f t="shared" si="19"/>
        <v>3.2056679311503036</v>
      </c>
      <c r="H87" s="27">
        <f t="shared" si="20"/>
        <v>3.4288541501438901</v>
      </c>
    </row>
    <row r="88" spans="1:8" ht="12.25" customHeight="1" x14ac:dyDescent="0.15">
      <c r="A88" s="26">
        <v>74</v>
      </c>
      <c r="B88" s="27">
        <f t="shared" si="14"/>
        <v>1.2930967932600044</v>
      </c>
      <c r="C88" s="27">
        <f t="shared" si="15"/>
        <v>1.6657068927340244</v>
      </c>
      <c r="D88" s="27">
        <f t="shared" si="16"/>
        <v>1.992543495180934</v>
      </c>
      <c r="E88" s="27">
        <f t="shared" si="17"/>
        <v>2.37780204991047</v>
      </c>
      <c r="F88" s="27">
        <f t="shared" si="18"/>
        <v>2.64391287165309</v>
      </c>
      <c r="G88" s="27">
        <f t="shared" si="19"/>
        <v>3.204056198099273</v>
      </c>
      <c r="H88" s="27">
        <f t="shared" si="20"/>
        <v>3.4269157551303602</v>
      </c>
    </row>
    <row r="89" spans="1:8" ht="12.25" customHeight="1" x14ac:dyDescent="0.15">
      <c r="A89" s="26">
        <v>75</v>
      </c>
      <c r="B89" s="27">
        <f t="shared" si="14"/>
        <v>1.2929414686356859</v>
      </c>
      <c r="C89" s="27">
        <f t="shared" si="15"/>
        <v>1.6654253733225626</v>
      </c>
      <c r="D89" s="27">
        <f t="shared" si="16"/>
        <v>1.9921021540022406</v>
      </c>
      <c r="E89" s="27">
        <f t="shared" si="17"/>
        <v>2.3771018123902579</v>
      </c>
      <c r="F89" s="27">
        <f t="shared" si="18"/>
        <v>2.6429830669673917</v>
      </c>
      <c r="G89" s="27">
        <f t="shared" si="19"/>
        <v>3.2024888408089529</v>
      </c>
      <c r="H89" s="27">
        <f t="shared" si="20"/>
        <v>3.4250309184639538</v>
      </c>
    </row>
    <row r="90" spans="1:8" ht="12.25" customHeight="1" x14ac:dyDescent="0.15">
      <c r="A90" s="26">
        <v>76</v>
      </c>
      <c r="B90" s="27">
        <f t="shared" si="14"/>
        <v>1.2927902677678638</v>
      </c>
      <c r="C90" s="27">
        <f t="shared" si="15"/>
        <v>1.6651513534046942</v>
      </c>
      <c r="D90" s="27">
        <f t="shared" si="16"/>
        <v>1.991672609644662</v>
      </c>
      <c r="E90" s="27">
        <f t="shared" si="17"/>
        <v>2.3764203761719984</v>
      </c>
      <c r="F90" s="27">
        <f t="shared" si="18"/>
        <v>2.6420783131459933</v>
      </c>
      <c r="G90" s="27">
        <f t="shared" si="19"/>
        <v>3.2009640519054576</v>
      </c>
      <c r="H90" s="27">
        <f t="shared" si="20"/>
        <v>3.4231974512971659</v>
      </c>
    </row>
    <row r="91" spans="1:8" ht="12.25" customHeight="1" x14ac:dyDescent="0.15">
      <c r="A91" s="26">
        <v>77</v>
      </c>
      <c r="B91" s="27">
        <f t="shared" si="14"/>
        <v>1.2926430285879402</v>
      </c>
      <c r="C91" s="27">
        <f t="shared" si="15"/>
        <v>1.6648845372582084</v>
      </c>
      <c r="D91" s="27">
        <f t="shared" si="16"/>
        <v>1.9912543953883848</v>
      </c>
      <c r="E91" s="27">
        <f t="shared" si="17"/>
        <v>2.3757569941364802</v>
      </c>
      <c r="F91" s="27">
        <f t="shared" si="18"/>
        <v>2.6411976113892712</v>
      </c>
      <c r="G91" s="27">
        <f t="shared" si="19"/>
        <v>3.1994801208278267</v>
      </c>
      <c r="H91" s="27">
        <f t="shared" si="20"/>
        <v>3.4214132824193051</v>
      </c>
    </row>
    <row r="92" spans="1:8" ht="12.25" customHeight="1" x14ac:dyDescent="0.15">
      <c r="A92" s="26">
        <v>78</v>
      </c>
      <c r="B92" s="27">
        <f t="shared" si="14"/>
        <v>1.2924995974099172</v>
      </c>
      <c r="C92" s="27">
        <f t="shared" si="15"/>
        <v>1.6646246445066122</v>
      </c>
      <c r="D92" s="27">
        <f t="shared" si="16"/>
        <v>1.9908470688116919</v>
      </c>
      <c r="E92" s="27">
        <f t="shared" si="17"/>
        <v>2.3751109582285199</v>
      </c>
      <c r="F92" s="27">
        <f t="shared" si="18"/>
        <v>2.6403400152921264</v>
      </c>
      <c r="G92" s="27">
        <f t="shared" si="19"/>
        <v>3.1980354274327696</v>
      </c>
      <c r="H92" s="27">
        <f t="shared" si="20"/>
        <v>3.4196764504605754</v>
      </c>
    </row>
    <row r="93" spans="1:8" ht="12.25" customHeight="1" x14ac:dyDescent="0.15">
      <c r="A93" s="26">
        <v>79</v>
      </c>
      <c r="B93" s="27">
        <f t="shared" si="14"/>
        <v>1.2923598283954396</v>
      </c>
      <c r="C93" s="27">
        <f t="shared" si="15"/>
        <v>1.6643714091365507</v>
      </c>
      <c r="D93" s="27">
        <f t="shared" si="16"/>
        <v>1.9904502102301287</v>
      </c>
      <c r="E93" s="27">
        <f t="shared" si="17"/>
        <v>2.3744815969369686</v>
      </c>
      <c r="F93" s="27">
        <f t="shared" si="18"/>
        <v>2.6395046274532201</v>
      </c>
      <c r="G93" s="27">
        <f t="shared" si="19"/>
        <v>3.196628436099664</v>
      </c>
      <c r="H93" s="27">
        <f t="shared" si="20"/>
        <v>3.4179850967078589</v>
      </c>
    </row>
    <row r="94" spans="1:8" ht="12.25" customHeight="1" x14ac:dyDescent="0.15">
      <c r="A94" s="26">
        <v>80</v>
      </c>
      <c r="B94" s="27">
        <f t="shared" si="14"/>
        <v>1.2922235830591293</v>
      </c>
      <c r="C94" s="27">
        <f t="shared" si="15"/>
        <v>1.6641245785896708</v>
      </c>
      <c r="D94" s="27">
        <f t="shared" si="16"/>
        <v>1.9900634212544475</v>
      </c>
      <c r="E94" s="27">
        <f t="shared" si="17"/>
        <v>2.3738682729673433</v>
      </c>
      <c r="F94" s="27">
        <f t="shared" si="18"/>
        <v>2.6386905963441825</v>
      </c>
      <c r="G94" s="27">
        <f t="shared" si="19"/>
        <v>3.195257690290743</v>
      </c>
      <c r="H94" s="27">
        <f t="shared" si="20"/>
        <v>3.4163374584769461</v>
      </c>
    </row>
    <row r="95" spans="1:8" ht="12.25" customHeight="1" x14ac:dyDescent="0.15">
      <c r="A95" s="26">
        <v>81</v>
      </c>
      <c r="B95" s="27">
        <f t="shared" si="14"/>
        <v>1.2920907298110498</v>
      </c>
      <c r="C95" s="27">
        <f t="shared" si="15"/>
        <v>1.6638839129226006</v>
      </c>
      <c r="D95" s="27">
        <f t="shared" si="16"/>
        <v>1.9896863234569038</v>
      </c>
      <c r="E95" s="27">
        <f t="shared" si="17"/>
        <v>2.3732703810900024</v>
      </c>
      <c r="F95" s="27">
        <f t="shared" si="18"/>
        <v>2.637897113415776</v>
      </c>
      <c r="G95" s="27">
        <f t="shared" si="19"/>
        <v>3.1939218075259532</v>
      </c>
      <c r="H95" s="27">
        <f t="shared" si="20"/>
        <v>3.4147318629915833</v>
      </c>
    </row>
    <row r="96" spans="1:8" ht="12.25" customHeight="1" x14ac:dyDescent="0.15">
      <c r="A96" s="26">
        <v>82</v>
      </c>
      <c r="B96" s="27">
        <f t="shared" si="14"/>
        <v>1.2919611435327278</v>
      </c>
      <c r="C96" s="27">
        <f t="shared" si="15"/>
        <v>1.6636491840290772</v>
      </c>
      <c r="D96" s="27">
        <f t="shared" si="16"/>
        <v>1.9893185571365706</v>
      </c>
      <c r="E96" s="27">
        <f t="shared" si="17"/>
        <v>2.3726873461487434</v>
      </c>
      <c r="F96" s="27">
        <f t="shared" si="18"/>
        <v>2.6371234104203745</v>
      </c>
      <c r="G96" s="27">
        <f t="shared" si="19"/>
        <v>3.1926194747361341</v>
      </c>
      <c r="H96" s="27">
        <f t="shared" si="20"/>
        <v>3.4131667217246888</v>
      </c>
    </row>
    <row r="97" spans="1:8" ht="12.25" customHeight="1" x14ac:dyDescent="0.15">
      <c r="A97" s="26">
        <v>83</v>
      </c>
      <c r="B97" s="27">
        <f t="shared" ref="B97:B119" si="21">_xlfn.T.INV.2T($B$9*2,A97)</f>
        <v>1.291834705184236</v>
      </c>
      <c r="C97" s="27">
        <f t="shared" ref="C97:C119" si="22">_xlfn.T.INV.2T($C$9*2,A97)</f>
        <v>1.6634201749188866</v>
      </c>
      <c r="D97" s="27">
        <f t="shared" ref="D97:D119" si="23">_xlfn.T.INV.2T($D$9*2,A97)</f>
        <v>1.9889597801751635</v>
      </c>
      <c r="E97" s="27">
        <f t="shared" ref="E97:E119" si="24">_xlfn.T.INV.2T($E$9*2,A97)</f>
        <v>2.3721186212159373</v>
      </c>
      <c r="F97" s="27">
        <f t="shared" ref="F97:F119" si="25">_xlfn.T.INV.2T($F$9*2,A97)</f>
        <v>2.6363687569321219</v>
      </c>
      <c r="G97" s="27">
        <f t="shared" ref="G97:G119" si="26">_xlfn.T.INV.2T($G$9*2,A97)</f>
        <v>3.1913494439616539</v>
      </c>
      <c r="H97" s="27">
        <f t="shared" ref="H97:H119" si="27">_xlfn.T.INV.2T($H$9*2,A97)</f>
        <v>3.4116405251615696</v>
      </c>
    </row>
    <row r="98" spans="1:8" ht="12.25" customHeight="1" x14ac:dyDescent="0.15">
      <c r="A98" s="26">
        <v>84</v>
      </c>
      <c r="B98" s="27">
        <f t="shared" si="21"/>
        <v>1.2917113014394768</v>
      </c>
      <c r="C98" s="27">
        <f t="shared" si="22"/>
        <v>1.6631966790489103</v>
      </c>
      <c r="D98" s="27">
        <f t="shared" si="23"/>
        <v>1.9886096669757098</v>
      </c>
      <c r="E98" s="27">
        <f t="shared" si="24"/>
        <v>2.3715636858818607</v>
      </c>
      <c r="F98" s="27">
        <f t="shared" si="25"/>
        <v>2.6356324580479598</v>
      </c>
      <c r="G98" s="27">
        <f t="shared" si="26"/>
        <v>3.1901105283669602</v>
      </c>
      <c r="H98" s="27">
        <f t="shared" si="27"/>
        <v>3.4101518379488622</v>
      </c>
    </row>
    <row r="99" spans="1:8" ht="12.25" customHeight="1" x14ac:dyDescent="0.15">
      <c r="A99" s="26">
        <v>85</v>
      </c>
      <c r="B99" s="27">
        <f t="shared" si="21"/>
        <v>1.2915908243473977</v>
      </c>
      <c r="C99" s="27">
        <f t="shared" si="22"/>
        <v>1.6629784997019019</v>
      </c>
      <c r="D99" s="27">
        <f t="shared" si="23"/>
        <v>1.9882679074772251</v>
      </c>
      <c r="E99" s="27">
        <f t="shared" si="24"/>
        <v>2.3710220446668706</v>
      </c>
      <c r="F99" s="27">
        <f t="shared" si="25"/>
        <v>2.6349138522543041</v>
      </c>
      <c r="G99" s="27">
        <f t="shared" si="26"/>
        <v>3.1889015985442479</v>
      </c>
      <c r="H99" s="27">
        <f t="shared" si="27"/>
        <v>3.4086992943964334</v>
      </c>
    </row>
    <row r="100" spans="1:8" ht="12.25" customHeight="1" x14ac:dyDescent="0.15">
      <c r="A100" s="26">
        <v>86</v>
      </c>
      <c r="B100" s="27">
        <f t="shared" si="21"/>
        <v>1.2914731710171075</v>
      </c>
      <c r="C100" s="27">
        <f t="shared" si="22"/>
        <v>1.662765449409072</v>
      </c>
      <c r="D100" s="27">
        <f t="shared" si="23"/>
        <v>1.987934206239018</v>
      </c>
      <c r="E100" s="27">
        <f t="shared" si="24"/>
        <v>2.3704932255463711</v>
      </c>
      <c r="F100" s="27">
        <f t="shared" si="25"/>
        <v>2.6342123094456342</v>
      </c>
      <c r="G100" s="27">
        <f t="shared" si="26"/>
        <v>3.1877215790821567</v>
      </c>
      <c r="H100" s="27">
        <f t="shared" si="27"/>
        <v>3.407281594302725</v>
      </c>
    </row>
    <row r="101" spans="1:8" ht="12.25" customHeight="1" x14ac:dyDescent="0.15">
      <c r="A101" s="26">
        <v>87</v>
      </c>
      <c r="B101" s="27">
        <f t="shared" si="21"/>
        <v>1.2913582433247877</v>
      </c>
      <c r="C101" s="27">
        <f t="shared" si="22"/>
        <v>1.662557349412876</v>
      </c>
      <c r="D101" s="27">
        <f t="shared" si="23"/>
        <v>1.9876082815890745</v>
      </c>
      <c r="E101" s="27">
        <f t="shared" si="24"/>
        <v>2.3699767785792196</v>
      </c>
      <c r="F101" s="27">
        <f t="shared" si="25"/>
        <v>2.6335272290824983</v>
      </c>
      <c r="G101" s="27">
        <f t="shared" si="26"/>
        <v>3.1865694453775011</v>
      </c>
      <c r="H101" s="27">
        <f t="shared" si="27"/>
        <v>3.4058974990766364</v>
      </c>
    </row>
    <row r="102" spans="1:8" ht="12.25" customHeight="1" x14ac:dyDescent="0.15">
      <c r="A102" s="26">
        <v>88</v>
      </c>
      <c r="B102" s="27">
        <f t="shared" si="21"/>
        <v>1.2912459476407916</v>
      </c>
      <c r="C102" s="27">
        <f t="shared" si="22"/>
        <v>1.662354029166899</v>
      </c>
      <c r="D102" s="27">
        <f t="shared" si="23"/>
        <v>1.9872898648311721</v>
      </c>
      <c r="E102" s="27">
        <f t="shared" si="24"/>
        <v>2.3694722746313328</v>
      </c>
      <c r="F102" s="27">
        <f t="shared" si="25"/>
        <v>2.6328580384776465</v>
      </c>
      <c r="G102" s="27">
        <f t="shared" si="26"/>
        <v>3.1854442206702496</v>
      </c>
      <c r="H102" s="27">
        <f t="shared" si="27"/>
        <v>3.4045458281317469</v>
      </c>
    </row>
    <row r="103" spans="1:8" ht="12.25" customHeight="1" x14ac:dyDescent="0.15">
      <c r="A103" s="26">
        <v>89</v>
      </c>
      <c r="B103" s="27">
        <f t="shared" si="21"/>
        <v>1.2911361945752782</v>
      </c>
      <c r="C103" s="27">
        <f t="shared" si="22"/>
        <v>1.6621553258697011</v>
      </c>
      <c r="D103" s="27">
        <f t="shared" si="23"/>
        <v>1.986978699506285</v>
      </c>
      <c r="E103" s="27">
        <f t="shared" si="24"/>
        <v>2.3689793041867127</v>
      </c>
      <c r="F103" s="27">
        <f t="shared" si="25"/>
        <v>2.6322041912000063</v>
      </c>
      <c r="G103" s="27">
        <f t="shared" si="26"/>
        <v>3.1843449732837121</v>
      </c>
      <c r="H103" s="27">
        <f t="shared" si="27"/>
        <v>3.4032254555307562</v>
      </c>
    </row>
    <row r="104" spans="1:8" ht="12.25" customHeight="1" x14ac:dyDescent="0.15">
      <c r="A104" s="26">
        <v>90</v>
      </c>
      <c r="B104" s="27">
        <f t="shared" si="21"/>
        <v>1.2910288987408942</v>
      </c>
      <c r="C104" s="27">
        <f t="shared" si="22"/>
        <v>1.661961084030164</v>
      </c>
      <c r="D104" s="27">
        <f t="shared" si="23"/>
        <v>1.986674540703772</v>
      </c>
      <c r="E104" s="27">
        <f t="shared" si="24"/>
        <v>2.3684974762391677</v>
      </c>
      <c r="F104" s="27">
        <f t="shared" si="25"/>
        <v>2.6315651655871597</v>
      </c>
      <c r="G104" s="27">
        <f t="shared" si="26"/>
        <v>3.1832708140535444</v>
      </c>
      <c r="H104" s="27">
        <f t="shared" si="27"/>
        <v>3.4019353068602105</v>
      </c>
    </row>
    <row r="105" spans="1:8" ht="12.25" customHeight="1" x14ac:dyDescent="0.15">
      <c r="A105" s="26">
        <v>91</v>
      </c>
      <c r="B105" s="27">
        <f t="shared" si="21"/>
        <v>1.2909239785312321</v>
      </c>
      <c r="C105" s="27">
        <f t="shared" si="22"/>
        <v>1.6617711550616978</v>
      </c>
      <c r="D105" s="27">
        <f t="shared" si="23"/>
        <v>1.9863771544186202</v>
      </c>
      <c r="E105" s="27">
        <f t="shared" si="24"/>
        <v>2.3680264172582461</v>
      </c>
      <c r="F105" s="27">
        <f t="shared" si="25"/>
        <v>2.6309404633577622</v>
      </c>
      <c r="G105" s="27">
        <f t="shared" si="26"/>
        <v>3.1822208939307122</v>
      </c>
      <c r="H105" s="27">
        <f t="shared" si="27"/>
        <v>3.4006743563171655</v>
      </c>
    </row>
    <row r="106" spans="1:8" ht="12.25" customHeight="1" x14ac:dyDescent="0.15">
      <c r="A106" s="26">
        <v>92</v>
      </c>
      <c r="B106" s="27">
        <f t="shared" si="21"/>
        <v>1.2908213559139037</v>
      </c>
      <c r="C106" s="27">
        <f t="shared" si="22"/>
        <v>1.6615853969032315</v>
      </c>
      <c r="D106" s="27">
        <f t="shared" si="23"/>
        <v>1.9860863169511298</v>
      </c>
      <c r="E106" s="27">
        <f t="shared" si="24"/>
        <v>2.3675657702237873</v>
      </c>
      <c r="F106" s="27">
        <f t="shared" si="25"/>
        <v>2.6303296083162864</v>
      </c>
      <c r="G106" s="27">
        <f t="shared" si="26"/>
        <v>3.1811944017447562</v>
      </c>
      <c r="H106" s="27">
        <f t="shared" si="27"/>
        <v>3.3994416239913354</v>
      </c>
    </row>
    <row r="107" spans="1:8" ht="12.25" customHeight="1" x14ac:dyDescent="0.15">
      <c r="A107" s="26">
        <v>93</v>
      </c>
      <c r="B107" s="27">
        <f t="shared" si="21"/>
        <v>1.2907209562369371</v>
      </c>
      <c r="C107" s="27">
        <f t="shared" si="22"/>
        <v>1.6614036736648974</v>
      </c>
      <c r="D107" s="27">
        <f t="shared" si="23"/>
        <v>1.9858018143458216</v>
      </c>
      <c r="E107" s="27">
        <f t="shared" si="24"/>
        <v>2.3671151937236972</v>
      </c>
      <c r="F107" s="27">
        <f t="shared" si="25"/>
        <v>2.6297321451428344</v>
      </c>
      <c r="G107" s="27">
        <f t="shared" si="26"/>
        <v>3.1801905621150914</v>
      </c>
      <c r="H107" s="27">
        <f t="shared" si="27"/>
        <v>3.3982361733275277</v>
      </c>
    </row>
    <row r="108" spans="1:8" ht="12.25" customHeight="1" x14ac:dyDescent="0.15">
      <c r="A108" s="26">
        <v>94</v>
      </c>
      <c r="B108" s="27">
        <f t="shared" si="21"/>
        <v>1.2906227080477188</v>
      </c>
      <c r="C108" s="27">
        <f t="shared" si="22"/>
        <v>1.6612258552965111</v>
      </c>
      <c r="D108" s="27">
        <f t="shared" si="23"/>
        <v>1.9855234418666059</v>
      </c>
      <c r="E108" s="27">
        <f t="shared" si="24"/>
        <v>2.366674361110336</v>
      </c>
      <c r="F108" s="27">
        <f t="shared" si="25"/>
        <v>2.6291476382617032</v>
      </c>
      <c r="G108" s="27">
        <f t="shared" si="26"/>
        <v>3.179208633498976</v>
      </c>
      <c r="H108" s="27">
        <f t="shared" si="27"/>
        <v>3.3970571087545349</v>
      </c>
    </row>
    <row r="109" spans="1:8" ht="12.25" customHeight="1" x14ac:dyDescent="0.15">
      <c r="A109" s="26">
        <v>95</v>
      </c>
      <c r="B109" s="27">
        <f t="shared" si="21"/>
        <v>1.2905265429234298</v>
      </c>
      <c r="C109" s="27">
        <f t="shared" si="22"/>
        <v>1.6610518172772404</v>
      </c>
      <c r="D109" s="27">
        <f t="shared" si="23"/>
        <v>1.9852510035054973</v>
      </c>
      <c r="E109" s="27">
        <f t="shared" si="24"/>
        <v>2.36624295971095</v>
      </c>
      <c r="F109" s="27">
        <f t="shared" si="25"/>
        <v>2.6285756707827428</v>
      </c>
      <c r="G109" s="27">
        <f t="shared" si="26"/>
        <v>3.1782479063658191</v>
      </c>
      <c r="H109" s="27">
        <f t="shared" si="27"/>
        <v>3.3959035734680061</v>
      </c>
    </row>
    <row r="110" spans="1:8" ht="12.25" customHeight="1" x14ac:dyDescent="0.15">
      <c r="A110" s="26">
        <v>96</v>
      </c>
      <c r="B110" s="27">
        <f t="shared" si="21"/>
        <v>1.290432395312135</v>
      </c>
      <c r="C110" s="27">
        <f t="shared" si="22"/>
        <v>1.6608814403248366</v>
      </c>
      <c r="D110" s="27">
        <f t="shared" si="23"/>
        <v>1.9849843115224561</v>
      </c>
      <c r="E110" s="27">
        <f t="shared" si="24"/>
        <v>2.3658206900882854</v>
      </c>
      <c r="F110" s="27">
        <f t="shared" si="25"/>
        <v>2.628015843510068</v>
      </c>
      <c r="G110" s="27">
        <f t="shared" si="26"/>
        <v>3.1773077014884423</v>
      </c>
      <c r="H110" s="27">
        <f t="shared" si="27"/>
        <v>3.3947747473556018</v>
      </c>
    </row>
    <row r="111" spans="1:8" ht="12.25" customHeight="1" x14ac:dyDescent="0.15">
      <c r="A111" s="26">
        <v>97</v>
      </c>
      <c r="B111" s="27">
        <f t="shared" si="21"/>
        <v>1.2903402023837507</v>
      </c>
      <c r="C111" s="27">
        <f t="shared" si="22"/>
        <v>1.6607146101230255</v>
      </c>
      <c r="D111" s="27">
        <f t="shared" si="23"/>
        <v>1.9847231860139838</v>
      </c>
      <c r="E111" s="27">
        <f t="shared" si="24"/>
        <v>2.3654072653476246</v>
      </c>
      <c r="F111" s="27">
        <f t="shared" si="25"/>
        <v>2.6274677740132515</v>
      </c>
      <c r="G111" s="27">
        <f t="shared" si="26"/>
        <v>3.176387368342608</v>
      </c>
      <c r="H111" s="27">
        <f t="shared" si="27"/>
        <v>3.3936698450540255</v>
      </c>
    </row>
    <row r="112" spans="1:8" ht="12.25" customHeight="1" x14ac:dyDescent="0.15">
      <c r="A112" s="26">
        <v>98</v>
      </c>
      <c r="B112" s="27">
        <f t="shared" si="21"/>
        <v>1.2902499038902864</v>
      </c>
      <c r="C112" s="27">
        <f t="shared" si="22"/>
        <v>1.6605512170657302</v>
      </c>
      <c r="D112" s="27">
        <f t="shared" si="23"/>
        <v>1.9844674545084788</v>
      </c>
      <c r="E112" s="27">
        <f t="shared" si="24"/>
        <v>2.3650024104869281</v>
      </c>
      <c r="F112" s="27">
        <f t="shared" si="25"/>
        <v>2.6269310957563716</v>
      </c>
      <c r="G112" s="27">
        <f t="shared" si="26"/>
        <v>3.1754862836069058</v>
      </c>
      <c r="H112" s="27">
        <f t="shared" si="27"/>
        <v>3.3925881141281873</v>
      </c>
    </row>
    <row r="113" spans="1:8" ht="12.25" customHeight="1" x14ac:dyDescent="0.15">
      <c r="A113" s="26">
        <v>99</v>
      </c>
      <c r="B113" s="27">
        <f t="shared" si="21"/>
        <v>1.290161442034484</v>
      </c>
      <c r="C113" s="27">
        <f t="shared" si="22"/>
        <v>1.6603911560169928</v>
      </c>
      <c r="D113" s="27">
        <f t="shared" si="23"/>
        <v>1.9842169515864165</v>
      </c>
      <c r="E113" s="27">
        <f t="shared" si="24"/>
        <v>2.3646058617869441</v>
      </c>
      <c r="F113" s="27">
        <f t="shared" si="25"/>
        <v>2.626405457280828</v>
      </c>
      <c r="G113" s="27">
        <f t="shared" si="26"/>
        <v>3.1746038497557501</v>
      </c>
      <c r="H113" s="27">
        <f t="shared" si="27"/>
        <v>3.3915288333636497</v>
      </c>
    </row>
    <row r="114" spans="1:8" ht="12.25" customHeight="1" x14ac:dyDescent="0.15">
      <c r="A114" s="26">
        <v>100</v>
      </c>
      <c r="B114" s="27">
        <f t="shared" si="21"/>
        <v>1.2900747613465169</v>
      </c>
      <c r="C114" s="27">
        <f t="shared" si="22"/>
        <v>1.6602343260853425</v>
      </c>
      <c r="D114" s="27">
        <f t="shared" si="23"/>
        <v>1.9839715185235556</v>
      </c>
      <c r="E114" s="27">
        <f t="shared" si="24"/>
        <v>2.3642173662384813</v>
      </c>
      <c r="F114" s="27">
        <f t="shared" si="25"/>
        <v>2.6258905214380182</v>
      </c>
      <c r="G114" s="27">
        <f t="shared" si="26"/>
        <v>3.1737394937387822</v>
      </c>
      <c r="H114" s="27">
        <f t="shared" si="27"/>
        <v>3.3904913111642285</v>
      </c>
    </row>
    <row r="115" spans="1:8" ht="12.25" customHeight="1" x14ac:dyDescent="0.15">
      <c r="A115" s="26">
        <v>110</v>
      </c>
      <c r="B115" s="27">
        <f t="shared" si="21"/>
        <v>1.2892951663474244</v>
      </c>
      <c r="C115" s="27">
        <f t="shared" si="22"/>
        <v>1.6588241874140928</v>
      </c>
      <c r="D115" s="27">
        <f t="shared" si="23"/>
        <v>1.9817652821323735</v>
      </c>
      <c r="E115" s="27">
        <f t="shared" si="24"/>
        <v>2.3607263416580411</v>
      </c>
      <c r="F115" s="27">
        <f t="shared" si="25"/>
        <v>2.6212645434885942</v>
      </c>
      <c r="G115" s="27">
        <f t="shared" si="26"/>
        <v>3.1659793676266581</v>
      </c>
      <c r="H115" s="27">
        <f t="shared" si="27"/>
        <v>3.3811790760477991</v>
      </c>
    </row>
    <row r="116" spans="1:8" ht="12.25" customHeight="1" x14ac:dyDescent="0.15">
      <c r="A116" s="26">
        <v>120</v>
      </c>
      <c r="B116" s="27">
        <f t="shared" si="21"/>
        <v>1.2886462336563809</v>
      </c>
      <c r="C116" s="27">
        <f t="shared" si="22"/>
        <v>1.6576508993552355</v>
      </c>
      <c r="D116" s="27">
        <f t="shared" si="23"/>
        <v>1.9799304050824413</v>
      </c>
      <c r="E116" s="27">
        <f t="shared" si="24"/>
        <v>2.3578246126487556</v>
      </c>
      <c r="F116" s="27">
        <f t="shared" si="25"/>
        <v>2.617421145106865</v>
      </c>
      <c r="G116" s="27">
        <f t="shared" si="26"/>
        <v>3.15953874331711</v>
      </c>
      <c r="H116" s="27">
        <f t="shared" si="27"/>
        <v>3.3734537685625003</v>
      </c>
    </row>
    <row r="117" spans="1:8" ht="12.25" customHeight="1" x14ac:dyDescent="0.15">
      <c r="A117" s="26">
        <v>130</v>
      </c>
      <c r="B117" s="27">
        <f t="shared" si="21"/>
        <v>1.2880976544320388</v>
      </c>
      <c r="C117" s="27">
        <f t="shared" si="22"/>
        <v>1.6566594127194858</v>
      </c>
      <c r="D117" s="27">
        <f t="shared" si="23"/>
        <v>1.9783804054470222</v>
      </c>
      <c r="E117" s="27">
        <f t="shared" si="24"/>
        <v>2.3553745848941778</v>
      </c>
      <c r="F117" s="27">
        <f t="shared" si="25"/>
        <v>2.6141772375563446</v>
      </c>
      <c r="G117" s="27">
        <f t="shared" si="26"/>
        <v>3.1541074721169888</v>
      </c>
      <c r="H117" s="27">
        <f t="shared" si="27"/>
        <v>3.3669416268726091</v>
      </c>
    </row>
    <row r="118" spans="1:8" ht="12.25" customHeight="1" x14ac:dyDescent="0.15">
      <c r="A118" s="26">
        <v>140</v>
      </c>
      <c r="B118" s="27">
        <f t="shared" si="21"/>
        <v>1.2876278210230245</v>
      </c>
      <c r="C118" s="27">
        <f t="shared" si="22"/>
        <v>1.6558105109968806</v>
      </c>
      <c r="D118" s="27">
        <f t="shared" si="23"/>
        <v>1.9770537196571039</v>
      </c>
      <c r="E118" s="27">
        <f t="shared" si="24"/>
        <v>2.3532784055810132</v>
      </c>
      <c r="F118" s="27">
        <f t="shared" si="25"/>
        <v>2.6114027111503373</v>
      </c>
      <c r="G118" s="27">
        <f t="shared" si="26"/>
        <v>3.1494655372680231</v>
      </c>
      <c r="H118" s="27">
        <f t="shared" si="27"/>
        <v>3.3613777095644686</v>
      </c>
    </row>
    <row r="119" spans="1:8" ht="12.25" customHeight="1" x14ac:dyDescent="0.15">
      <c r="A119" s="26">
        <v>150</v>
      </c>
      <c r="B119" s="27">
        <f t="shared" si="21"/>
        <v>1.2872209136149522</v>
      </c>
      <c r="C119" s="27">
        <f t="shared" si="22"/>
        <v>1.6550755001871769</v>
      </c>
      <c r="D119" s="27">
        <f t="shared" si="23"/>
        <v>1.9759053308966197</v>
      </c>
      <c r="E119" s="27">
        <f t="shared" si="24"/>
        <v>2.3514645817783082</v>
      </c>
      <c r="F119" s="27">
        <f t="shared" si="25"/>
        <v>2.6090025658655387</v>
      </c>
      <c r="G119" s="27">
        <f t="shared" si="26"/>
        <v>3.1454525319823552</v>
      </c>
      <c r="H119" s="27">
        <f t="shared" si="27"/>
        <v>3.3565689817424422</v>
      </c>
    </row>
    <row r="120" spans="1:8" ht="12.25" customHeight="1" x14ac:dyDescent="0.15">
      <c r="A120" s="30" t="s">
        <v>146</v>
      </c>
      <c r="B120" s="31">
        <v>1.2815600311816895</v>
      </c>
      <c r="C120" s="31">
        <v>1.6448688649083159</v>
      </c>
      <c r="D120" s="31">
        <v>1.9599876512892953</v>
      </c>
      <c r="E120" s="31">
        <v>2.3263515820303953</v>
      </c>
      <c r="F120" s="31">
        <v>2.5758784581108571</v>
      </c>
      <c r="G120" s="31">
        <v>3.0903138000092731</v>
      </c>
      <c r="H120" s="31">
        <v>3.290624028005416</v>
      </c>
    </row>
  </sheetData>
  <phoneticPr fontId="16" type="noConversion"/>
  <pageMargins left="0.7" right="0.7" top="0.5" bottom="0.35" header="0.5" footer="0.3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topLeftCell="A7" zoomScale="150" workbookViewId="0">
      <selection activeCell="A30" sqref="A30"/>
    </sheetView>
  </sheetViews>
  <sheetFormatPr baseColWidth="10" defaultColWidth="8.83203125" defaultRowHeight="13" x14ac:dyDescent="0.15"/>
  <cols>
    <col min="1" max="1" width="22.5" customWidth="1"/>
    <col min="2" max="2" width="20.6640625" customWidth="1"/>
    <col min="3" max="3" width="11.5" customWidth="1"/>
    <col min="4" max="4" width="15.1640625" customWidth="1"/>
    <col min="5" max="5" width="18" customWidth="1"/>
    <col min="6" max="6" width="14.6640625" bestFit="1" customWidth="1"/>
    <col min="7" max="7" width="6.5" customWidth="1"/>
    <col min="8" max="8" width="14.83203125" customWidth="1"/>
    <col min="9" max="9" width="10.83203125" customWidth="1"/>
    <col min="10" max="10" width="11.83203125" customWidth="1"/>
    <col min="11" max="11" width="12.1640625" customWidth="1"/>
  </cols>
  <sheetData>
    <row r="1" spans="1:12" ht="18" x14ac:dyDescent="0.2">
      <c r="A1" s="9" t="s">
        <v>108</v>
      </c>
      <c r="B1" s="6"/>
      <c r="C1" s="6"/>
    </row>
    <row r="2" spans="1:12" ht="16" x14ac:dyDescent="0.2">
      <c r="A2" s="4"/>
    </row>
    <row r="3" spans="1:12" ht="16" x14ac:dyDescent="0.2">
      <c r="A3" s="4"/>
      <c r="B3" s="2" t="s">
        <v>61</v>
      </c>
    </row>
    <row r="4" spans="1:12" ht="16" x14ac:dyDescent="0.2">
      <c r="A4" s="4"/>
      <c r="B4" s="4" t="s">
        <v>77</v>
      </c>
    </row>
    <row r="5" spans="1:12" ht="16" x14ac:dyDescent="0.2">
      <c r="A5" s="4"/>
      <c r="B5" s="4"/>
    </row>
    <row r="6" spans="1:12" ht="16" x14ac:dyDescent="0.2">
      <c r="A6" s="60" t="s">
        <v>47</v>
      </c>
      <c r="B6" s="6"/>
      <c r="C6" s="6"/>
      <c r="D6" s="6"/>
      <c r="E6" s="6"/>
    </row>
    <row r="7" spans="1:12" ht="14" x14ac:dyDescent="0.15">
      <c r="D7" s="50" t="s">
        <v>37</v>
      </c>
      <c r="E7" s="51"/>
      <c r="F7" s="51"/>
      <c r="G7" s="16"/>
      <c r="H7" s="50" t="s">
        <v>57</v>
      </c>
      <c r="I7" s="51"/>
      <c r="J7" s="51"/>
      <c r="K7" s="51"/>
      <c r="L7" s="6"/>
    </row>
    <row r="8" spans="1:12" ht="16" x14ac:dyDescent="0.2">
      <c r="A8" s="8" t="s">
        <v>12</v>
      </c>
      <c r="B8" s="10">
        <v>100</v>
      </c>
      <c r="D8" s="1" t="s">
        <v>100</v>
      </c>
      <c r="E8" s="7">
        <f>_xlfn.NORM.S.DIST(ABS(B12),TRUE)-0.5</f>
        <v>0.45515852741507534</v>
      </c>
      <c r="H8" s="1" t="s">
        <v>100</v>
      </c>
      <c r="I8" s="7">
        <f>0.5-_xlfn.T.DIST.RT(ABS(B12),B11-1)</f>
        <v>0.45198646361631717</v>
      </c>
    </row>
    <row r="9" spans="1:12" ht="16" x14ac:dyDescent="0.2">
      <c r="A9" s="8" t="s">
        <v>93</v>
      </c>
      <c r="B9" s="10">
        <v>9.4280000000000008</v>
      </c>
      <c r="D9" s="1" t="s">
        <v>55</v>
      </c>
      <c r="E9" s="7">
        <f>1-_xlfn.NORM.S.DIST(ABS(B12),TRUE)</f>
        <v>4.4841472584924658E-2</v>
      </c>
      <c r="H9" s="1" t="s">
        <v>55</v>
      </c>
      <c r="I9" s="7">
        <f>_xlfn.T.DIST.RT(ABS(B12),B11-1)</f>
        <v>4.8013536383682831E-2</v>
      </c>
    </row>
    <row r="10" spans="1:12" ht="16" x14ac:dyDescent="0.2">
      <c r="A10" s="8" t="s">
        <v>143</v>
      </c>
      <c r="B10" s="10">
        <v>84</v>
      </c>
    </row>
    <row r="11" spans="1:12" ht="16" x14ac:dyDescent="0.2">
      <c r="A11" s="8" t="s">
        <v>124</v>
      </c>
      <c r="B11" s="10">
        <v>50</v>
      </c>
    </row>
    <row r="12" spans="1:12" ht="16" x14ac:dyDescent="0.2">
      <c r="A12" s="8" t="s">
        <v>137</v>
      </c>
      <c r="B12" s="7">
        <f>(B10-B8)/B9</f>
        <v>-1.697072549851506</v>
      </c>
    </row>
    <row r="13" spans="1:12" ht="16" x14ac:dyDescent="0.2">
      <c r="A13" s="8"/>
      <c r="B13" s="7"/>
    </row>
    <row r="14" spans="1:12" ht="16" x14ac:dyDescent="0.2">
      <c r="A14" s="8"/>
      <c r="B14" s="7"/>
    </row>
    <row r="15" spans="1:12" ht="16" x14ac:dyDescent="0.2">
      <c r="A15" s="8"/>
      <c r="B15" s="7"/>
    </row>
    <row r="16" spans="1:12" ht="16" x14ac:dyDescent="0.2">
      <c r="A16" s="1"/>
      <c r="B16" s="3"/>
    </row>
    <row r="17" spans="1:11" ht="16" x14ac:dyDescent="0.2">
      <c r="A17" s="60" t="s">
        <v>62</v>
      </c>
      <c r="B17" s="5"/>
      <c r="C17" s="6"/>
      <c r="D17" s="6"/>
      <c r="E17" s="6"/>
      <c r="F17" s="6"/>
      <c r="G17" s="6"/>
      <c r="H17" s="6"/>
    </row>
    <row r="18" spans="1:11" ht="16" x14ac:dyDescent="0.2">
      <c r="A18" s="17" t="s">
        <v>12</v>
      </c>
      <c r="B18" s="73">
        <v>40</v>
      </c>
      <c r="C18" s="16"/>
      <c r="D18" s="16"/>
      <c r="E18" s="16"/>
    </row>
    <row r="19" spans="1:11" ht="16" x14ac:dyDescent="0.2">
      <c r="A19" s="17" t="s">
        <v>93</v>
      </c>
      <c r="B19" s="73">
        <v>4</v>
      </c>
      <c r="C19" s="16"/>
      <c r="D19" s="16"/>
      <c r="E19" s="16"/>
    </row>
    <row r="20" spans="1:11" ht="16" x14ac:dyDescent="0.2">
      <c r="A20" s="8" t="s">
        <v>101</v>
      </c>
      <c r="B20" s="73">
        <v>0.9</v>
      </c>
    </row>
    <row r="21" spans="1:11" ht="16" x14ac:dyDescent="0.2">
      <c r="A21" s="8" t="s">
        <v>109</v>
      </c>
      <c r="B21" s="74">
        <f>_xlfn.NORM.S.INV(B20)</f>
        <v>1.2815515655446006</v>
      </c>
    </row>
    <row r="22" spans="1:11" ht="16" x14ac:dyDescent="0.2">
      <c r="A22" s="8" t="s">
        <v>106</v>
      </c>
      <c r="B22" s="74">
        <f>B21*B19+B18</f>
        <v>45.1262062621784</v>
      </c>
    </row>
    <row r="23" spans="1:11" ht="16" x14ac:dyDescent="0.2">
      <c r="A23" s="8"/>
      <c r="B23" s="74"/>
    </row>
    <row r="24" spans="1:11" ht="16" x14ac:dyDescent="0.2">
      <c r="A24" s="8"/>
      <c r="B24" s="74"/>
    </row>
    <row r="25" spans="1:11" ht="16" x14ac:dyDescent="0.2">
      <c r="A25" s="8"/>
      <c r="B25" s="74"/>
    </row>
    <row r="27" spans="1:11" ht="16" x14ac:dyDescent="0.2">
      <c r="A27" s="162" t="s">
        <v>78</v>
      </c>
      <c r="B27" s="163"/>
      <c r="C27" s="163"/>
      <c r="E27" s="164" t="s">
        <v>26</v>
      </c>
      <c r="F27" s="165"/>
      <c r="G27" s="2">
        <v>50</v>
      </c>
      <c r="K27">
        <f>0.33/0.16</f>
        <v>2.0625</v>
      </c>
    </row>
    <row r="28" spans="1:11" ht="16" x14ac:dyDescent="0.2">
      <c r="B28" s="161" t="s">
        <v>63</v>
      </c>
      <c r="C28" s="161"/>
      <c r="E28" s="161" t="s">
        <v>64</v>
      </c>
      <c r="F28" s="161"/>
    </row>
    <row r="29" spans="1:11" ht="16" x14ac:dyDescent="0.2">
      <c r="A29" s="8" t="s">
        <v>80</v>
      </c>
      <c r="B29" s="13" t="s">
        <v>81</v>
      </c>
      <c r="C29" s="13" t="s">
        <v>82</v>
      </c>
      <c r="E29" s="13" t="s">
        <v>81</v>
      </c>
      <c r="F29" s="13" t="s">
        <v>82</v>
      </c>
      <c r="H29" s="8"/>
      <c r="I29" s="1"/>
      <c r="J29" s="1"/>
      <c r="K29" s="1"/>
    </row>
    <row r="30" spans="1:11" ht="16" x14ac:dyDescent="0.2">
      <c r="A30" s="15">
        <v>2.5760000000000001</v>
      </c>
      <c r="B30" s="7">
        <f>1-_xlfn.NORM.S.DIST(ABS(A30),TRUE)</f>
        <v>4.9975323157349649E-3</v>
      </c>
      <c r="C30" s="7">
        <f>B30*2</f>
        <v>9.9950646314699299E-3</v>
      </c>
      <c r="D30" s="12"/>
      <c r="E30" s="7">
        <f>_xlfn.T.DIST.RT(ABS(A30),G27-1)</f>
        <v>6.5306161229088796E-3</v>
      </c>
      <c r="F30" s="7">
        <f>E30*2</f>
        <v>1.3061232245817759E-2</v>
      </c>
      <c r="H30" s="11"/>
      <c r="I30" s="11"/>
      <c r="J30" s="7"/>
      <c r="K30" s="7"/>
    </row>
    <row r="31" spans="1:11" ht="16" x14ac:dyDescent="0.2">
      <c r="A31" s="71"/>
      <c r="B31" s="11"/>
      <c r="C31" s="12"/>
      <c r="D31" s="12"/>
      <c r="H31" s="11"/>
      <c r="I31" s="11"/>
      <c r="J31" s="7"/>
      <c r="K31" s="7"/>
    </row>
    <row r="32" spans="1:11" ht="16" x14ac:dyDescent="0.2">
      <c r="A32" s="11"/>
      <c r="B32" s="11"/>
      <c r="C32" s="12"/>
      <c r="D32" s="12"/>
      <c r="H32" s="11"/>
      <c r="I32" s="11"/>
      <c r="J32" s="7"/>
      <c r="K32" s="7"/>
    </row>
    <row r="33" spans="1:11" ht="16" x14ac:dyDescent="0.2">
      <c r="A33" s="11"/>
      <c r="B33" s="11"/>
      <c r="C33" s="12"/>
      <c r="D33" s="12"/>
      <c r="H33" s="11"/>
      <c r="I33" s="11"/>
      <c r="J33" s="7"/>
      <c r="K33" s="7"/>
    </row>
    <row r="34" spans="1:11" ht="16" x14ac:dyDescent="0.2">
      <c r="A34" s="11"/>
      <c r="B34" s="11"/>
      <c r="C34" s="12"/>
      <c r="D34" s="12"/>
      <c r="H34" s="11"/>
      <c r="I34" s="11"/>
      <c r="J34" s="7"/>
      <c r="K34" s="7"/>
    </row>
  </sheetData>
  <mergeCells count="4">
    <mergeCell ref="E28:F28"/>
    <mergeCell ref="A27:C27"/>
    <mergeCell ref="B28:C28"/>
    <mergeCell ref="E27:F27"/>
  </mergeCells>
  <phoneticPr fontId="0" type="noConversion"/>
  <pageMargins left="0.7" right="0.7" top="0.75" bottom="0.75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zoomScale="200" workbookViewId="0">
      <selection activeCell="I9" sqref="I9"/>
    </sheetView>
  </sheetViews>
  <sheetFormatPr baseColWidth="10" defaultColWidth="8.83203125" defaultRowHeight="13" x14ac:dyDescent="0.15"/>
  <cols>
    <col min="1" max="1" width="15" customWidth="1"/>
    <col min="2" max="2" width="12.1640625" customWidth="1"/>
    <col min="3" max="3" width="12.83203125" customWidth="1"/>
    <col min="4" max="4" width="11.5" customWidth="1"/>
    <col min="5" max="5" width="3" customWidth="1"/>
    <col min="6" max="6" width="16.1640625" customWidth="1"/>
    <col min="7" max="7" width="12" customWidth="1"/>
    <col min="8" max="8" width="12.6640625" customWidth="1"/>
    <col min="9" max="9" width="11.83203125" customWidth="1"/>
  </cols>
  <sheetData>
    <row r="1" spans="1:9" ht="18" x14ac:dyDescent="0.2">
      <c r="A1" s="9" t="s">
        <v>27</v>
      </c>
      <c r="B1" s="6"/>
      <c r="C1" s="6"/>
    </row>
    <row r="4" spans="1:9" ht="16" x14ac:dyDescent="0.2">
      <c r="A4" s="166"/>
      <c r="B4" s="167"/>
      <c r="C4" s="167"/>
      <c r="F4" s="8" t="s">
        <v>26</v>
      </c>
      <c r="G4" s="14">
        <v>180</v>
      </c>
    </row>
    <row r="5" spans="1:9" ht="16" x14ac:dyDescent="0.2">
      <c r="C5" s="168" t="s">
        <v>24</v>
      </c>
      <c r="D5" s="168"/>
      <c r="H5" s="168" t="s">
        <v>25</v>
      </c>
      <c r="I5" s="168"/>
    </row>
    <row r="6" spans="1:9" ht="16" x14ac:dyDescent="0.2">
      <c r="A6" s="13" t="s">
        <v>23</v>
      </c>
      <c r="B6" s="13" t="s">
        <v>21</v>
      </c>
      <c r="C6" s="1" t="s">
        <v>53</v>
      </c>
      <c r="D6" s="1" t="s">
        <v>22</v>
      </c>
      <c r="F6" s="8" t="s">
        <v>23</v>
      </c>
      <c r="G6" s="13" t="s">
        <v>21</v>
      </c>
      <c r="H6" s="13" t="s">
        <v>79</v>
      </c>
      <c r="I6" s="13" t="s">
        <v>22</v>
      </c>
    </row>
    <row r="7" spans="1:9" ht="16" x14ac:dyDescent="0.2">
      <c r="A7" s="11">
        <v>0.2</v>
      </c>
      <c r="B7" s="11">
        <f>1-A7</f>
        <v>0.8</v>
      </c>
      <c r="C7" s="12">
        <f>_xlfn.NORM.S.INV(B7)</f>
        <v>0.84162123357291474</v>
      </c>
      <c r="D7" s="12">
        <f>_xlfn.NORM.S.INV(B7+0.5*A7)</f>
        <v>1.2815515655446006</v>
      </c>
      <c r="F7" s="11">
        <v>0.2</v>
      </c>
      <c r="G7" s="11">
        <f>1-F7</f>
        <v>0.8</v>
      </c>
      <c r="H7" s="7">
        <f>_xlfn.T.INV.2T(F7*2,$G$4-1)</f>
        <v>0.84363389450384219</v>
      </c>
      <c r="I7" s="7">
        <f>_xlfn.T.INV.2T(F7,$G$4-1)</f>
        <v>1.2862989520145407</v>
      </c>
    </row>
    <row r="8" spans="1:9" ht="16" x14ac:dyDescent="0.2">
      <c r="A8" s="11">
        <v>0.1</v>
      </c>
      <c r="B8" s="11">
        <f>1-A8</f>
        <v>0.9</v>
      </c>
      <c r="C8" s="12">
        <f>_xlfn.NORM.S.INV(B8)</f>
        <v>1.2815515655446006</v>
      </c>
      <c r="D8" s="12">
        <f>_xlfn.NORM.S.INV(B8+0.5*A8)</f>
        <v>1.6448536269514731</v>
      </c>
      <c r="F8" s="11">
        <v>0.1</v>
      </c>
      <c r="G8" s="11">
        <f>1-F8</f>
        <v>0.9</v>
      </c>
      <c r="H8" s="7">
        <f>_xlfn.T.INV.2T(F8*2,$G$4-1)</f>
        <v>1.2862989520145407</v>
      </c>
      <c r="I8" s="7">
        <f>_xlfn.T.INV.2T(F8,$G$4-1)</f>
        <v>1.6534108001234091</v>
      </c>
    </row>
    <row r="9" spans="1:9" ht="16" x14ac:dyDescent="0.2">
      <c r="A9" s="11">
        <v>0.05</v>
      </c>
      <c r="B9" s="11">
        <f>1-A9</f>
        <v>0.95</v>
      </c>
      <c r="C9" s="12">
        <f>_xlfn.NORM.S.INV(B9)</f>
        <v>1.6448536269514715</v>
      </c>
      <c r="D9" s="12">
        <f>_xlfn.NORM.S.INV(B9+0.5*A9)</f>
        <v>1.9599639845400536</v>
      </c>
      <c r="F9" s="11">
        <v>0.05</v>
      </c>
      <c r="G9" s="11">
        <f>1-F9</f>
        <v>0.95</v>
      </c>
      <c r="H9" s="7">
        <f>_xlfn.T.INV.2T(F9*2,$G$4-1)</f>
        <v>1.6534108001234091</v>
      </c>
      <c r="I9" s="7">
        <f>_xlfn.T.INV.2T(F9,$G$4-1)</f>
        <v>1.9733054338414706</v>
      </c>
    </row>
    <row r="10" spans="1:9" ht="16" x14ac:dyDescent="0.2">
      <c r="A10" s="11">
        <v>0.01</v>
      </c>
      <c r="B10" s="11">
        <f>1-A10</f>
        <v>0.99</v>
      </c>
      <c r="C10" s="12">
        <f>_xlfn.NORM.S.INV(B10)</f>
        <v>2.3263478740408408</v>
      </c>
      <c r="D10" s="12">
        <f>_xlfn.NORM.S.INV(B10+0.5*A10)</f>
        <v>2.5758293035488999</v>
      </c>
      <c r="F10" s="11">
        <v>0.01</v>
      </c>
      <c r="G10" s="11">
        <f>1-F10</f>
        <v>0.99</v>
      </c>
      <c r="H10" s="7">
        <f>_xlfn.T.INV.2T(F10*2,$G$4-1)</f>
        <v>2.3473603813212138</v>
      </c>
      <c r="I10" s="7">
        <f>_xlfn.T.INV.2T(F10,$G$4-1)</f>
        <v>2.6035739121804786</v>
      </c>
    </row>
    <row r="11" spans="1:9" ht="16" x14ac:dyDescent="0.2">
      <c r="A11" s="11">
        <v>1E-3</v>
      </c>
      <c r="B11" s="11">
        <f>1-A11</f>
        <v>0.999</v>
      </c>
      <c r="C11" s="12">
        <f>_xlfn.NORM.S.INV(B11)</f>
        <v>3.0902323061678132</v>
      </c>
      <c r="D11" s="12">
        <f>_xlfn.NORM.S.INV(B11+0.5*A11)</f>
        <v>3.2905267314918629</v>
      </c>
      <c r="F11" s="11">
        <v>1E-3</v>
      </c>
      <c r="G11" s="11">
        <f>1-F11</f>
        <v>0.999</v>
      </c>
      <c r="H11" s="7">
        <f>_xlfn.T.INV.2T(F11*2,$G$4-1)</f>
        <v>3.1363847085433907</v>
      </c>
      <c r="I11" s="7">
        <f>_xlfn.T.INV.2T(F11,$G$4-1)</f>
        <v>3.3457077287409946</v>
      </c>
    </row>
    <row r="14" spans="1:9" x14ac:dyDescent="0.15">
      <c r="A14" s="19" t="s">
        <v>9</v>
      </c>
    </row>
    <row r="15" spans="1:9" x14ac:dyDescent="0.15">
      <c r="A15" s="47" t="s">
        <v>10</v>
      </c>
      <c r="B15" s="48"/>
      <c r="C15" s="48"/>
    </row>
    <row r="16" spans="1:9" x14ac:dyDescent="0.15">
      <c r="A16" s="45" t="s">
        <v>26</v>
      </c>
      <c r="B16" s="45" t="s">
        <v>49</v>
      </c>
      <c r="C16" s="45" t="s">
        <v>148</v>
      </c>
    </row>
    <row r="17" spans="1:3" x14ac:dyDescent="0.15">
      <c r="A17" s="49">
        <v>10</v>
      </c>
      <c r="B17" s="44" t="s">
        <v>8</v>
      </c>
      <c r="C17" s="46">
        <f t="shared" ref="C17:C24" si="0">_xlfn.T.INV.2T(0.05,A17-1)</f>
        <v>2.2621571627982053</v>
      </c>
    </row>
    <row r="18" spans="1:3" x14ac:dyDescent="0.15">
      <c r="A18" s="49">
        <v>20</v>
      </c>
      <c r="B18" s="44" t="s">
        <v>8</v>
      </c>
      <c r="C18" s="46">
        <f t="shared" si="0"/>
        <v>2.0930240544083096</v>
      </c>
    </row>
    <row r="19" spans="1:3" x14ac:dyDescent="0.15">
      <c r="A19" s="49">
        <v>30</v>
      </c>
      <c r="B19" s="46">
        <v>1.96</v>
      </c>
      <c r="C19" s="46">
        <f t="shared" si="0"/>
        <v>2.0452296421327048</v>
      </c>
    </row>
    <row r="20" spans="1:3" x14ac:dyDescent="0.15">
      <c r="A20" s="49">
        <v>50</v>
      </c>
      <c r="B20" s="46">
        <v>1.96</v>
      </c>
      <c r="C20" s="46">
        <f t="shared" si="0"/>
        <v>2.0095752371292388</v>
      </c>
    </row>
    <row r="21" spans="1:3" x14ac:dyDescent="0.15">
      <c r="A21" s="49">
        <v>100</v>
      </c>
      <c r="B21" s="46">
        <v>1.96</v>
      </c>
      <c r="C21" s="46">
        <f t="shared" si="0"/>
        <v>1.9842169515864165</v>
      </c>
    </row>
    <row r="22" spans="1:3" x14ac:dyDescent="0.15">
      <c r="A22" s="49">
        <v>500</v>
      </c>
      <c r="B22" s="46">
        <v>1.96</v>
      </c>
      <c r="C22" s="46">
        <f t="shared" si="0"/>
        <v>1.964729390987682</v>
      </c>
    </row>
    <row r="23" spans="1:3" x14ac:dyDescent="0.15">
      <c r="A23" s="49">
        <v>1000</v>
      </c>
      <c r="B23" s="46">
        <v>1.96</v>
      </c>
      <c r="C23" s="46">
        <f t="shared" si="0"/>
        <v>1.9623414611334626</v>
      </c>
    </row>
    <row r="24" spans="1:3" x14ac:dyDescent="0.15">
      <c r="A24" s="49">
        <v>10000</v>
      </c>
      <c r="B24" s="46">
        <v>1.96</v>
      </c>
      <c r="C24" s="46">
        <f t="shared" si="0"/>
        <v>1.960201263620778</v>
      </c>
    </row>
  </sheetData>
  <mergeCells count="3">
    <mergeCell ref="A4:C4"/>
    <mergeCell ref="C5:D5"/>
    <mergeCell ref="H5:I5"/>
  </mergeCells>
  <phoneticPr fontId="0" type="noConversion"/>
  <pageMargins left="0.7" right="0.7" top="0.75" bottom="0.75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C.I.</vt:lpstr>
      <vt:lpstr>Mean</vt:lpstr>
      <vt:lpstr>Proportion</vt:lpstr>
      <vt:lpstr>Mean Large</vt:lpstr>
      <vt:lpstr>t-Table</vt:lpstr>
      <vt:lpstr>Normal Table</vt:lpstr>
      <vt:lpstr>Exp. t-Table</vt:lpstr>
      <vt:lpstr>prob of z or t</vt:lpstr>
      <vt:lpstr>z and t values</vt:lpstr>
      <vt:lpstr>Normal Plot</vt:lpstr>
      <vt:lpstr>BETA</vt:lpstr>
      <vt:lpstr>'Normal Table'!Print_Area</vt:lpstr>
      <vt:lpstr>Proportion!Print_Area</vt:lpstr>
      <vt:lpstr>'t-Table'!Print_Area</vt:lpstr>
      <vt:lpstr>Mean!z</vt:lpstr>
      <vt:lpstr>Proportion!z</vt:lpstr>
      <vt:lpstr>z</vt:lpstr>
    </vt:vector>
  </TitlesOfParts>
  <Company>Univ. of 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tilvento</dc:creator>
  <cp:lastModifiedBy>Tom Ilvento</cp:lastModifiedBy>
  <cp:lastPrinted>2017-04-10T16:27:18Z</cp:lastPrinted>
  <dcterms:created xsi:type="dcterms:W3CDTF">2002-11-13T22:03:01Z</dcterms:created>
  <dcterms:modified xsi:type="dcterms:W3CDTF">2018-07-09T04:15:29Z</dcterms:modified>
</cp:coreProperties>
</file>