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IC_article\"/>
    </mc:Choice>
  </mc:AlternateContent>
  <bookViews>
    <workbookView xWindow="0" yWindow="0" windowWidth="16380" windowHeight="8190" tabRatio="357" firstSheet="3" activeTab="3"/>
  </bookViews>
  <sheets>
    <sheet name="PopulateDB" sheetId="1" r:id="rId1"/>
    <sheet name="CleanText" sheetId="2" r:id="rId2"/>
    <sheet name="Index Construction" sheetId="3" r:id="rId3"/>
    <sheet name="Index Update" sheetId="4" r:id="rId4"/>
    <sheet name="Storage_Stats" sheetId="5" r:id="rId5"/>
    <sheet name="Search" sheetId="6" r:id="rId6"/>
  </sheets>
  <calcPr calcId="152511" iterateDelta="1E-4"/>
</workbook>
</file>

<file path=xl/calcChain.xml><?xml version="1.0" encoding="utf-8"?>
<calcChain xmlns="http://schemas.openxmlformats.org/spreadsheetml/2006/main">
  <c r="F8" i="6" l="1"/>
  <c r="F7" i="6"/>
  <c r="F6" i="6"/>
  <c r="F5" i="6"/>
  <c r="F4" i="6"/>
  <c r="P12" i="5"/>
  <c r="P11" i="5"/>
  <c r="P10" i="5"/>
  <c r="P9" i="5"/>
  <c r="P8" i="5"/>
  <c r="N19" i="1"/>
  <c r="N18" i="1"/>
  <c r="N17" i="1"/>
  <c r="N16" i="1"/>
  <c r="N15" i="1"/>
  <c r="I19" i="1"/>
  <c r="I18" i="1"/>
  <c r="I17" i="1"/>
  <c r="I16" i="1"/>
  <c r="I15" i="1"/>
  <c r="G56" i="5"/>
  <c r="G55" i="5"/>
  <c r="G54" i="5"/>
  <c r="J53" i="5"/>
  <c r="J52" i="5"/>
  <c r="J51" i="5"/>
  <c r="G51" i="5"/>
  <c r="J50" i="5"/>
  <c r="J49" i="5"/>
  <c r="J48" i="5"/>
  <c r="J47" i="5"/>
  <c r="J57" i="5" s="1"/>
  <c r="G46" i="5"/>
  <c r="G57" i="5" s="1"/>
  <c r="G44" i="5"/>
  <c r="G43" i="5"/>
  <c r="G45" i="5" s="1"/>
  <c r="G42" i="5"/>
  <c r="J41" i="5"/>
  <c r="J40" i="5"/>
  <c r="J39" i="5"/>
  <c r="G39" i="5"/>
  <c r="J38" i="5"/>
  <c r="J37" i="5"/>
  <c r="J36" i="5"/>
  <c r="J35" i="5"/>
  <c r="J34" i="5"/>
  <c r="J45" i="5" s="1"/>
  <c r="G34" i="5"/>
  <c r="G32" i="5"/>
  <c r="G31" i="5"/>
  <c r="G30" i="5"/>
  <c r="J29" i="5"/>
  <c r="J28" i="5"/>
  <c r="J27" i="5"/>
  <c r="G27" i="5"/>
  <c r="J26" i="5"/>
  <c r="G26" i="5"/>
  <c r="J25" i="5"/>
  <c r="G25" i="5"/>
  <c r="J24" i="5"/>
  <c r="G24" i="5"/>
  <c r="J23" i="5"/>
  <c r="G23" i="5"/>
  <c r="J22" i="5"/>
  <c r="J33" i="5" s="1"/>
  <c r="G22" i="5"/>
  <c r="G20" i="5"/>
  <c r="J19" i="5"/>
  <c r="G19" i="5"/>
  <c r="J18" i="5"/>
  <c r="G18" i="5"/>
  <c r="J17" i="5"/>
  <c r="J16" i="5"/>
  <c r="J15" i="5"/>
  <c r="G15" i="5"/>
  <c r="J14" i="5"/>
  <c r="G14" i="5"/>
  <c r="V13" i="5"/>
  <c r="J13" i="5"/>
  <c r="G13" i="5"/>
  <c r="V12" i="5"/>
  <c r="J12" i="5"/>
  <c r="G12" i="5"/>
  <c r="V11" i="5"/>
  <c r="J11" i="5"/>
  <c r="G11" i="5"/>
  <c r="V10" i="5"/>
  <c r="J10" i="5"/>
  <c r="J21" i="5" s="1"/>
  <c r="G10" i="5"/>
  <c r="G21" i="5" s="1"/>
  <c r="V9" i="5"/>
  <c r="V8" i="5"/>
  <c r="V7" i="5"/>
  <c r="V14" i="5" s="1"/>
  <c r="I18" i="3"/>
  <c r="H18" i="3"/>
  <c r="I17" i="3"/>
  <c r="H17" i="3"/>
  <c r="I16" i="3"/>
  <c r="H16" i="3"/>
  <c r="I15" i="3"/>
  <c r="H15" i="3"/>
  <c r="I14" i="3"/>
  <c r="H14" i="3"/>
  <c r="I13" i="3"/>
  <c r="H13" i="3"/>
  <c r="I12" i="3"/>
  <c r="H12" i="3"/>
</calcChain>
</file>

<file path=xl/sharedStrings.xml><?xml version="1.0" encoding="utf-8"?>
<sst xmlns="http://schemas.openxmlformats.org/spreadsheetml/2006/main" count="229" uniqueCount="60">
  <si>
    <t>Corpora</t>
  </si>
  <si>
    <t>Mongo Serial</t>
  </si>
  <si>
    <t>MongoDB parallelization</t>
  </si>
  <si>
    <t>PostgreSQL</t>
  </si>
  <si>
    <t>Corpus 1</t>
  </si>
  <si>
    <t>Corpus 2</t>
  </si>
  <si>
    <t>Corpus 3</t>
  </si>
  <si>
    <t>Corpus 4</t>
  </si>
  <si>
    <t>Corpus 5</t>
  </si>
  <si>
    <t>Corpus 6</t>
  </si>
  <si>
    <t>N/A</t>
  </si>
  <si>
    <t>Corpus 7</t>
  </si>
  <si>
    <t>MongoDB Serial</t>
  </si>
  <si>
    <t>Clean Text Serial</t>
  </si>
  <si>
    <t>Clean Text Parallelized</t>
  </si>
  <si>
    <t>POS Index</t>
  </si>
  <si>
    <t>Inverted Index</t>
  </si>
  <si>
    <t>Vocabulary</t>
  </si>
  <si>
    <t>Corpora 1</t>
  </si>
  <si>
    <t>Corpora 2</t>
  </si>
  <si>
    <t>Corpora 3</t>
  </si>
  <si>
    <t>Corpora 4</t>
  </si>
  <si>
    <t>Corpora 5</t>
  </si>
  <si>
    <t>Corpora 6</t>
  </si>
  <si>
    <t>Corpora 7</t>
  </si>
  <si>
    <t>a</t>
  </si>
  <si>
    <t>No. Documents</t>
  </si>
  <si>
    <t>Update</t>
  </si>
  <si>
    <t>Delete</t>
  </si>
  <si>
    <t>vocabulary</t>
  </si>
  <si>
    <t>posindex</t>
  </si>
  <si>
    <t>documents</t>
  </si>
  <si>
    <t>MongoDB</t>
  </si>
  <si>
    <t>pos_words</t>
  </si>
  <si>
    <t>words</t>
  </si>
  <si>
    <t>Collection</t>
  </si>
  <si>
    <t>No. Records</t>
  </si>
  <si>
    <t>Size (MB)</t>
  </si>
  <si>
    <t>Table</t>
  </si>
  <si>
    <t>documents_tags</t>
  </si>
  <si>
    <t>pos</t>
  </si>
  <si>
    <t>authors</t>
  </si>
  <si>
    <t>tags</t>
  </si>
  <si>
    <t>pos_index</t>
  </si>
  <si>
    <t>inverted_index</t>
  </si>
  <si>
    <t>documents_authors</t>
  </si>
  <si>
    <t>authors_documents</t>
  </si>
  <si>
    <t>round(765856/1024/1024, 2)</t>
  </si>
  <si>
    <t>round(1084448/1024/1024, 2)</t>
  </si>
  <si>
    <t>Total Size (MB)</t>
  </si>
  <si>
    <t>%</t>
  </si>
  <si>
    <t>1 term</t>
  </si>
  <si>
    <t>2 terms</t>
  </si>
  <si>
    <t>3 terms</t>
  </si>
  <si>
    <t>4 terms</t>
  </si>
  <si>
    <t>5 terms</t>
  </si>
  <si>
    <t>No. Terms</t>
  </si>
  <si>
    <t>a) Update indexes after new documents are added</t>
  </si>
  <si>
    <t>b) Update indexes after documents were deleted</t>
  </si>
  <si>
    <t>Rebuild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</si>
</sst>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1" xfId="0" applyFont="1" applyBorder="1" applyAlignment="1"/>
    <xf numFmtId="0" fontId="0" fillId="0" borderId="1" xfId="0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4" xfId="0" applyFont="1" applyBorder="1"/>
    <xf numFmtId="0" fontId="0" fillId="0" borderId="9" xfId="0" applyBorder="1"/>
    <xf numFmtId="0" fontId="0" fillId="0" borderId="8" xfId="0" applyBorder="1"/>
    <xf numFmtId="0" fontId="0" fillId="0" borderId="5" xfId="0" applyFont="1" applyBorder="1"/>
    <xf numFmtId="0" fontId="0" fillId="0" borderId="3" xfId="0" applyBorder="1"/>
    <xf numFmtId="0" fontId="0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ont="1" applyFill="1" applyBorder="1"/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10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/>
    <xf numFmtId="0" fontId="0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right" vertical="center"/>
    </xf>
    <xf numFmtId="0" fontId="0" fillId="0" borderId="9" xfId="0" applyFont="1" applyBorder="1" applyAlignment="1">
      <alignment horizontal="righ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536"/>
  <sheetViews>
    <sheetView zoomScaleNormal="100" workbookViewId="0">
      <selection activeCell="N11" sqref="N11"/>
    </sheetView>
  </sheetViews>
  <sheetFormatPr defaultRowHeight="15" x14ac:dyDescent="0.25"/>
  <cols>
    <col min="1" max="2" width="8.85546875"/>
    <col min="3" max="3" width="16.28515625" customWidth="1"/>
    <col min="4" max="4" width="20.5703125"/>
    <col min="5" max="6" width="8.7109375"/>
    <col min="7" max="7" width="9.5703125" bestFit="1" customWidth="1"/>
    <col min="8" max="8" width="11" bestFit="1" customWidth="1"/>
    <col min="9" max="9" width="7.140625" bestFit="1" customWidth="1"/>
    <col min="10" max="11" width="8.85546875"/>
    <col min="12" max="12" width="9.5703125" bestFit="1" customWidth="1"/>
    <col min="13" max="13" width="11" bestFit="1" customWidth="1"/>
    <col min="14" max="14" width="7.140625" bestFit="1" customWidth="1"/>
    <col min="15" max="1026" width="8.85546875"/>
  </cols>
  <sheetData>
    <row r="1" spans="1:14" ht="15" customHeight="1" x14ac:dyDescent="0.25"/>
    <row r="2" spans="1:14" ht="15" customHeight="1" x14ac:dyDescent="0.25">
      <c r="C2" s="1"/>
      <c r="D2" s="1"/>
      <c r="E2" s="1"/>
      <c r="F2" s="1"/>
    </row>
    <row r="3" spans="1:14" ht="15" customHeight="1" x14ac:dyDescent="0.25">
      <c r="B3" s="2" t="s">
        <v>0</v>
      </c>
      <c r="C3" t="s">
        <v>1</v>
      </c>
      <c r="D3" s="3" t="s">
        <v>2</v>
      </c>
      <c r="E3" s="2" t="s">
        <v>3</v>
      </c>
      <c r="N3" s="1"/>
    </row>
    <row r="4" spans="1:14" ht="15" customHeight="1" x14ac:dyDescent="0.25">
      <c r="A4">
        <v>100</v>
      </c>
      <c r="B4" s="2" t="s">
        <v>4</v>
      </c>
      <c r="C4">
        <v>0.6</v>
      </c>
      <c r="D4" s="2">
        <v>0.59</v>
      </c>
      <c r="E4" s="2">
        <v>1.9</v>
      </c>
    </row>
    <row r="5" spans="1:14" ht="15" customHeight="1" x14ac:dyDescent="0.25">
      <c r="A5">
        <v>500</v>
      </c>
      <c r="B5" s="2" t="s">
        <v>5</v>
      </c>
      <c r="C5">
        <v>2.86</v>
      </c>
      <c r="D5" s="2">
        <v>2.8</v>
      </c>
      <c r="E5" s="2">
        <v>7.81</v>
      </c>
    </row>
    <row r="6" spans="1:14" ht="15" customHeight="1" x14ac:dyDescent="0.25">
      <c r="A6">
        <v>1000</v>
      </c>
      <c r="B6" s="2" t="s">
        <v>6</v>
      </c>
      <c r="C6">
        <v>5.79</v>
      </c>
      <c r="D6" s="2">
        <v>5.72</v>
      </c>
      <c r="E6" s="2">
        <v>15.07</v>
      </c>
    </row>
    <row r="7" spans="1:14" ht="15" customHeight="1" x14ac:dyDescent="0.25">
      <c r="A7">
        <v>5000</v>
      </c>
      <c r="B7" s="2" t="s">
        <v>7</v>
      </c>
      <c r="C7">
        <v>32.61</v>
      </c>
      <c r="D7" s="2">
        <v>28.89</v>
      </c>
      <c r="E7" s="2">
        <v>74.040000000000006</v>
      </c>
    </row>
    <row r="8" spans="1:14" ht="15" customHeight="1" x14ac:dyDescent="0.25">
      <c r="A8">
        <v>10000</v>
      </c>
      <c r="B8" s="2" t="s">
        <v>8</v>
      </c>
      <c r="C8">
        <v>59.59</v>
      </c>
      <c r="D8" s="2">
        <v>56.85</v>
      </c>
      <c r="E8" s="2">
        <v>150.13</v>
      </c>
    </row>
    <row r="9" spans="1:14" ht="15" customHeight="1" x14ac:dyDescent="0.25">
      <c r="A9">
        <v>50000</v>
      </c>
      <c r="B9" s="2" t="s">
        <v>9</v>
      </c>
      <c r="C9">
        <v>192.24</v>
      </c>
      <c r="D9" s="2">
        <v>183.53</v>
      </c>
      <c r="E9" s="2" t="s">
        <v>10</v>
      </c>
    </row>
    <row r="10" spans="1:14" ht="15" customHeight="1" x14ac:dyDescent="0.25">
      <c r="A10">
        <v>100000</v>
      </c>
      <c r="B10" s="2" t="s">
        <v>11</v>
      </c>
      <c r="C10">
        <v>393.87</v>
      </c>
      <c r="D10" s="2">
        <v>392.92</v>
      </c>
      <c r="E10" s="2" t="s">
        <v>10</v>
      </c>
    </row>
    <row r="11" spans="1:14" ht="15" customHeight="1" x14ac:dyDescent="0.25"/>
    <row r="12" spans="1:14" ht="15" customHeight="1" x14ac:dyDescent="0.25"/>
    <row r="13" spans="1:14" ht="15" customHeight="1" x14ac:dyDescent="0.25"/>
    <row r="14" spans="1:14" ht="15" customHeight="1" x14ac:dyDescent="0.25">
      <c r="F14" s="29" t="s">
        <v>0</v>
      </c>
      <c r="G14" s="30" t="s">
        <v>32</v>
      </c>
      <c r="H14" s="29" t="s">
        <v>3</v>
      </c>
      <c r="I14" s="31" t="s">
        <v>50</v>
      </c>
      <c r="J14" s="31"/>
      <c r="K14" s="29" t="s">
        <v>0</v>
      </c>
      <c r="L14" s="32" t="s">
        <v>32</v>
      </c>
      <c r="M14" s="29" t="s">
        <v>3</v>
      </c>
      <c r="N14" s="31" t="s">
        <v>50</v>
      </c>
    </row>
    <row r="15" spans="1:14" ht="15" customHeight="1" x14ac:dyDescent="0.25">
      <c r="F15" s="29" t="s">
        <v>4</v>
      </c>
      <c r="G15" s="30">
        <v>0.6</v>
      </c>
      <c r="H15" s="29">
        <v>1.9</v>
      </c>
      <c r="I15" s="33">
        <f>ROUND((H15-G15)/H15,2)</f>
        <v>0.68</v>
      </c>
      <c r="J15" s="30"/>
      <c r="K15" s="29" t="s">
        <v>4</v>
      </c>
      <c r="L15" s="32">
        <v>42.82</v>
      </c>
      <c r="M15" s="29">
        <v>675.35</v>
      </c>
      <c r="N15" s="33">
        <f t="shared" ref="N15:N19" si="0">ROUND((M15-L15)/M15,2)</f>
        <v>0.94</v>
      </c>
    </row>
    <row r="16" spans="1:14" ht="15" customHeight="1" x14ac:dyDescent="0.25">
      <c r="F16" s="29" t="s">
        <v>5</v>
      </c>
      <c r="G16" s="30">
        <v>2.86</v>
      </c>
      <c r="H16" s="29">
        <v>7.81</v>
      </c>
      <c r="I16" s="33">
        <f t="shared" ref="I16:I19" si="1">ROUND((H16-G16)/H16,2)</f>
        <v>0.63</v>
      </c>
      <c r="J16" s="30"/>
      <c r="K16" s="29" t="s">
        <v>5</v>
      </c>
      <c r="L16" s="32">
        <v>151.78</v>
      </c>
      <c r="M16" s="29">
        <v>2490.36</v>
      </c>
      <c r="N16" s="33">
        <f t="shared" si="0"/>
        <v>0.94</v>
      </c>
    </row>
    <row r="17" spans="6:14" ht="15" customHeight="1" x14ac:dyDescent="0.25">
      <c r="F17" s="29" t="s">
        <v>6</v>
      </c>
      <c r="G17" s="30">
        <v>5.79</v>
      </c>
      <c r="H17" s="29">
        <v>15.07</v>
      </c>
      <c r="I17" s="33">
        <f t="shared" si="1"/>
        <v>0.62</v>
      </c>
      <c r="J17" s="30"/>
      <c r="K17" s="29" t="s">
        <v>6</v>
      </c>
      <c r="L17" s="32">
        <v>283.32</v>
      </c>
      <c r="M17" s="29">
        <v>4726.6000000000004</v>
      </c>
      <c r="N17" s="33">
        <f t="shared" si="0"/>
        <v>0.94</v>
      </c>
    </row>
    <row r="18" spans="6:14" ht="15" customHeight="1" x14ac:dyDescent="0.25">
      <c r="F18" s="29" t="s">
        <v>7</v>
      </c>
      <c r="G18" s="30">
        <v>32.61</v>
      </c>
      <c r="H18" s="29">
        <v>74.040000000000006</v>
      </c>
      <c r="I18" s="33">
        <f t="shared" si="1"/>
        <v>0.56000000000000005</v>
      </c>
      <c r="J18" s="30"/>
      <c r="K18" s="29" t="s">
        <v>7</v>
      </c>
      <c r="L18" s="32">
        <v>1190.9100000000001</v>
      </c>
      <c r="M18" s="29">
        <v>21003.41</v>
      </c>
      <c r="N18" s="33">
        <f t="shared" si="0"/>
        <v>0.94</v>
      </c>
    </row>
    <row r="19" spans="6:14" ht="15" customHeight="1" x14ac:dyDescent="0.25">
      <c r="F19" s="29" t="s">
        <v>8</v>
      </c>
      <c r="G19" s="30">
        <v>59.59</v>
      </c>
      <c r="H19" s="29">
        <v>150.13</v>
      </c>
      <c r="I19" s="33">
        <f t="shared" si="1"/>
        <v>0.6</v>
      </c>
      <c r="J19" s="30"/>
      <c r="K19" s="29" t="s">
        <v>8</v>
      </c>
      <c r="L19" s="32">
        <v>2259.6</v>
      </c>
      <c r="M19" s="29">
        <v>47305.26</v>
      </c>
      <c r="N19" s="33">
        <f t="shared" si="0"/>
        <v>0.95</v>
      </c>
    </row>
    <row r="20" spans="6:14" ht="15" customHeight="1" x14ac:dyDescent="0.25">
      <c r="F20" s="29" t="s">
        <v>9</v>
      </c>
      <c r="G20" s="30">
        <v>192.24</v>
      </c>
      <c r="H20" s="29" t="s">
        <v>10</v>
      </c>
      <c r="I20" s="34" t="s">
        <v>10</v>
      </c>
      <c r="J20" s="30"/>
      <c r="K20" s="29" t="s">
        <v>9</v>
      </c>
      <c r="L20" s="32">
        <v>3197.79</v>
      </c>
      <c r="M20" s="29" t="s">
        <v>10</v>
      </c>
      <c r="N20" s="30"/>
    </row>
    <row r="21" spans="6:14" ht="15" customHeight="1" x14ac:dyDescent="0.25">
      <c r="F21" s="29" t="s">
        <v>11</v>
      </c>
      <c r="G21" s="30">
        <v>393.87</v>
      </c>
      <c r="H21" s="29" t="s">
        <v>10</v>
      </c>
      <c r="I21" s="34" t="s">
        <v>10</v>
      </c>
      <c r="J21" s="30"/>
      <c r="K21" s="29" t="s">
        <v>11</v>
      </c>
      <c r="L21" s="32">
        <v>4554.17</v>
      </c>
      <c r="M21" s="29" t="s">
        <v>10</v>
      </c>
      <c r="N21" s="30"/>
    </row>
    <row r="22" spans="6:14" ht="15" customHeight="1" x14ac:dyDescent="0.25"/>
    <row r="23" spans="6:14" ht="15" customHeight="1" x14ac:dyDescent="0.25"/>
    <row r="24" spans="6:14" ht="15" customHeight="1" x14ac:dyDescent="0.25"/>
    <row r="25" spans="6:14" ht="15" customHeight="1" x14ac:dyDescent="0.25"/>
    <row r="26" spans="6:14" ht="15" customHeight="1" x14ac:dyDescent="0.25"/>
    <row r="27" spans="6:14" ht="15" customHeight="1" x14ac:dyDescent="0.25"/>
    <row r="28" spans="6:14" ht="15" customHeight="1" x14ac:dyDescent="0.25"/>
    <row r="29" spans="6:14" ht="15" customHeight="1" x14ac:dyDescent="0.25"/>
    <row r="30" spans="6:14" ht="15" customHeight="1" x14ac:dyDescent="0.25"/>
    <row r="31" spans="6:14" ht="15" customHeight="1" x14ac:dyDescent="0.25"/>
    <row r="32" spans="6:1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536"/>
  <sheetViews>
    <sheetView zoomScaleNormal="100" workbookViewId="0">
      <selection activeCell="B5" sqref="B5:E12"/>
    </sheetView>
  </sheetViews>
  <sheetFormatPr defaultRowHeight="15" x14ac:dyDescent="0.25"/>
  <cols>
    <col min="1" max="2" width="8.85546875"/>
    <col min="3" max="3" width="14"/>
    <col min="4" max="4" width="20.28515625"/>
    <col min="5" max="5" width="11.85546875"/>
    <col min="6" max="6" width="19.5703125"/>
    <col min="7" max="1025" width="8.85546875"/>
  </cols>
  <sheetData>
    <row r="1" spans="2:7" ht="15" customHeight="1" x14ac:dyDescent="0.25"/>
    <row r="2" spans="2:7" ht="15" customHeight="1" x14ac:dyDescent="0.25"/>
    <row r="3" spans="2:7" ht="15" customHeight="1" x14ac:dyDescent="0.25"/>
    <row r="4" spans="2:7" ht="15" customHeight="1" x14ac:dyDescent="0.25">
      <c r="G4" s="1"/>
    </row>
    <row r="5" spans="2:7" ht="15" customHeight="1" x14ac:dyDescent="0.25">
      <c r="B5" s="2" t="s">
        <v>0</v>
      </c>
      <c r="C5" s="4" t="s">
        <v>12</v>
      </c>
      <c r="D5" s="5" t="s">
        <v>2</v>
      </c>
      <c r="E5" s="5" t="s">
        <v>3</v>
      </c>
    </row>
    <row r="6" spans="2:7" ht="15" customHeight="1" x14ac:dyDescent="0.25">
      <c r="B6" s="2" t="s">
        <v>4</v>
      </c>
      <c r="C6" s="4">
        <v>42.82</v>
      </c>
      <c r="D6" s="6">
        <v>43.61</v>
      </c>
      <c r="E6" s="2">
        <v>675.35</v>
      </c>
    </row>
    <row r="7" spans="2:7" ht="15" customHeight="1" x14ac:dyDescent="0.25">
      <c r="B7" s="2" t="s">
        <v>5</v>
      </c>
      <c r="C7" s="4">
        <v>151.78</v>
      </c>
      <c r="D7" s="6">
        <v>168.74</v>
      </c>
      <c r="E7" s="2">
        <v>2490.36</v>
      </c>
    </row>
    <row r="8" spans="2:7" ht="15" customHeight="1" x14ac:dyDescent="0.25">
      <c r="B8" s="2" t="s">
        <v>6</v>
      </c>
      <c r="C8" s="4">
        <v>283.32</v>
      </c>
      <c r="D8" s="7">
        <v>315.68</v>
      </c>
      <c r="E8" s="2">
        <v>4726.6000000000004</v>
      </c>
    </row>
    <row r="9" spans="2:7" ht="15" customHeight="1" x14ac:dyDescent="0.25">
      <c r="B9" s="2" t="s">
        <v>7</v>
      </c>
      <c r="C9" s="4">
        <v>1190.9100000000001</v>
      </c>
      <c r="D9" s="7">
        <v>1336.14</v>
      </c>
      <c r="E9" s="2">
        <v>21003.41</v>
      </c>
    </row>
    <row r="10" spans="2:7" ht="15" customHeight="1" x14ac:dyDescent="0.25">
      <c r="B10" s="2" t="s">
        <v>8</v>
      </c>
      <c r="C10" s="4">
        <v>2259.6</v>
      </c>
      <c r="D10" s="7">
        <v>2536.0300000000002</v>
      </c>
      <c r="E10" s="2">
        <v>47305.26</v>
      </c>
    </row>
    <row r="11" spans="2:7" ht="15" customHeight="1" x14ac:dyDescent="0.25">
      <c r="B11" s="2" t="s">
        <v>9</v>
      </c>
      <c r="C11" s="4">
        <v>3197.79</v>
      </c>
      <c r="D11" s="2">
        <v>3589.08</v>
      </c>
      <c r="E11" s="2" t="s">
        <v>10</v>
      </c>
    </row>
    <row r="12" spans="2:7" ht="15" customHeight="1" x14ac:dyDescent="0.25">
      <c r="B12" s="2" t="s">
        <v>11</v>
      </c>
      <c r="C12" s="4">
        <v>4554.17</v>
      </c>
      <c r="D12" s="2">
        <v>5185.3599999999997</v>
      </c>
      <c r="E12" s="2" t="s">
        <v>10</v>
      </c>
    </row>
    <row r="13" spans="2:7" ht="15" customHeight="1" x14ac:dyDescent="0.25"/>
    <row r="14" spans="2:7" ht="15" customHeight="1" x14ac:dyDescent="0.25"/>
    <row r="15" spans="2:7" ht="15" customHeight="1" x14ac:dyDescent="0.25"/>
    <row r="16" spans="2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536"/>
  <sheetViews>
    <sheetView topLeftCell="J16" zoomScaleNormal="100" workbookViewId="0">
      <selection activeCell="N26" sqref="N26:R33"/>
    </sheetView>
  </sheetViews>
  <sheetFormatPr defaultRowHeight="15" x14ac:dyDescent="0.25"/>
  <cols>
    <col min="1" max="2" width="8.85546875"/>
    <col min="3" max="3" width="14.7109375"/>
    <col min="4" max="4" width="19.28515625"/>
    <col min="5" max="5" width="10"/>
    <col min="6" max="6" width="13.5703125"/>
    <col min="7" max="7" width="10.7109375"/>
    <col min="8" max="8" width="10.28515625"/>
    <col min="9" max="13" width="8.85546875"/>
    <col min="14" max="14" width="9.42578125" bestFit="1" customWidth="1"/>
    <col min="15" max="15" width="15.85546875" bestFit="1" customWidth="1"/>
    <col min="16" max="16" width="10" bestFit="1" customWidth="1"/>
    <col min="17" max="17" width="14.140625" bestFit="1" customWidth="1"/>
    <col min="18" max="19" width="10.85546875" bestFit="1" customWidth="1"/>
    <col min="20" max="1025" width="8.85546875"/>
  </cols>
  <sheetData>
    <row r="1" spans="2:9" ht="15" customHeight="1" x14ac:dyDescent="0.25"/>
    <row r="2" spans="2:9" ht="15" customHeight="1" x14ac:dyDescent="0.25">
      <c r="D2" s="1"/>
      <c r="E2" s="1"/>
    </row>
    <row r="3" spans="2:9" ht="15.75" customHeight="1" x14ac:dyDescent="0.25">
      <c r="C3" s="8"/>
    </row>
    <row r="4" spans="2:9" ht="15" customHeight="1" x14ac:dyDescent="0.25">
      <c r="B4" s="9"/>
      <c r="C4" s="10"/>
      <c r="D4" s="11"/>
      <c r="E4" s="11"/>
      <c r="F4" s="11"/>
      <c r="G4" s="11"/>
      <c r="H4" s="11"/>
    </row>
    <row r="5" spans="2:9" ht="15" customHeight="1" x14ac:dyDescent="0.25">
      <c r="B5" s="9"/>
      <c r="C5" s="10"/>
    </row>
    <row r="6" spans="2:9" ht="15.75" customHeight="1" x14ac:dyDescent="0.25">
      <c r="B6" s="9"/>
      <c r="C6" s="10"/>
      <c r="D6" s="11"/>
      <c r="E6" s="11"/>
      <c r="F6" s="11"/>
      <c r="G6" s="11"/>
      <c r="H6" s="11"/>
    </row>
    <row r="7" spans="2:9" ht="15" customHeight="1" x14ac:dyDescent="0.25">
      <c r="B7" s="9"/>
      <c r="C7" s="10"/>
      <c r="D7" s="11"/>
      <c r="E7" s="11"/>
      <c r="F7" s="11"/>
      <c r="G7" s="11"/>
      <c r="H7" s="11"/>
    </row>
    <row r="8" spans="2:9" ht="15" customHeight="1" x14ac:dyDescent="0.25">
      <c r="B8" s="9"/>
      <c r="C8" s="12"/>
    </row>
    <row r="9" spans="2:9" ht="15" customHeight="1" x14ac:dyDescent="0.25">
      <c r="B9" s="9"/>
      <c r="C9" s="12"/>
    </row>
    <row r="10" spans="2:9" ht="15" customHeight="1" x14ac:dyDescent="0.25">
      <c r="B10" s="9"/>
      <c r="C10" s="12"/>
    </row>
    <row r="11" spans="2:9" ht="15" customHeight="1" x14ac:dyDescent="0.25">
      <c r="B11" s="13" t="s">
        <v>0</v>
      </c>
      <c r="C11" t="s">
        <v>13</v>
      </c>
      <c r="D11" s="13" t="s">
        <v>14</v>
      </c>
      <c r="E11" s="13" t="s">
        <v>15</v>
      </c>
      <c r="F11" s="13" t="s">
        <v>16</v>
      </c>
      <c r="G11" s="13" t="s">
        <v>17</v>
      </c>
    </row>
    <row r="12" spans="2:9" ht="15" customHeight="1" x14ac:dyDescent="0.25">
      <c r="B12" s="2" t="s">
        <v>18</v>
      </c>
      <c r="C12">
        <v>25.36</v>
      </c>
      <c r="D12" s="2">
        <v>26.15</v>
      </c>
      <c r="E12" s="2">
        <v>4.95</v>
      </c>
      <c r="F12" s="2">
        <v>5.94</v>
      </c>
      <c r="G12" s="2">
        <v>6.57</v>
      </c>
      <c r="H12">
        <f t="shared" ref="H12:H18" si="0">SUM(D12:G12)</f>
        <v>43.61</v>
      </c>
      <c r="I12">
        <f t="shared" ref="I12:I18" si="1">SUM(E12:G12,C12)</f>
        <v>42.82</v>
      </c>
    </row>
    <row r="13" spans="2:9" ht="15" customHeight="1" x14ac:dyDescent="0.25">
      <c r="B13" s="2" t="s">
        <v>19</v>
      </c>
      <c r="C13">
        <v>103.74</v>
      </c>
      <c r="D13" s="2">
        <v>120.7</v>
      </c>
      <c r="E13" s="2">
        <v>12.63</v>
      </c>
      <c r="F13" s="2">
        <v>16.149999999999999</v>
      </c>
      <c r="G13" s="2">
        <v>19.260000000000002</v>
      </c>
      <c r="H13">
        <f t="shared" si="0"/>
        <v>168.74</v>
      </c>
      <c r="I13">
        <f t="shared" si="1"/>
        <v>151.78</v>
      </c>
    </row>
    <row r="14" spans="2:9" ht="15" customHeight="1" x14ac:dyDescent="0.25">
      <c r="B14" s="2" t="s">
        <v>20</v>
      </c>
      <c r="C14">
        <v>204.91</v>
      </c>
      <c r="D14" s="2">
        <v>237.27</v>
      </c>
      <c r="E14" s="2">
        <v>20.100000000000001</v>
      </c>
      <c r="F14" s="2">
        <v>25.36</v>
      </c>
      <c r="G14" s="2">
        <v>32.950000000000003</v>
      </c>
      <c r="H14">
        <f t="shared" si="0"/>
        <v>315.68</v>
      </c>
      <c r="I14">
        <f t="shared" si="1"/>
        <v>283.32</v>
      </c>
    </row>
    <row r="15" spans="2:9" ht="15" customHeight="1" x14ac:dyDescent="0.25">
      <c r="B15" s="2" t="s">
        <v>21</v>
      </c>
      <c r="C15">
        <v>934.56</v>
      </c>
      <c r="D15" s="2">
        <v>1079.79</v>
      </c>
      <c r="E15" s="2">
        <v>57.74</v>
      </c>
      <c r="F15" s="2">
        <v>81.459999999999994</v>
      </c>
      <c r="G15" s="2">
        <v>117.15</v>
      </c>
      <c r="H15">
        <f t="shared" si="0"/>
        <v>1336.14</v>
      </c>
      <c r="I15">
        <f t="shared" si="1"/>
        <v>1190.9099999999999</v>
      </c>
    </row>
    <row r="16" spans="2:9" ht="15" customHeight="1" x14ac:dyDescent="0.25">
      <c r="B16" s="2" t="s">
        <v>22</v>
      </c>
      <c r="C16">
        <v>1805.27</v>
      </c>
      <c r="D16" s="2">
        <v>2081.6999999999998</v>
      </c>
      <c r="E16" s="2">
        <v>103.38</v>
      </c>
      <c r="F16" s="2">
        <v>141.81</v>
      </c>
      <c r="G16" s="2">
        <v>209.14</v>
      </c>
      <c r="H16">
        <f t="shared" si="0"/>
        <v>2536.0299999999997</v>
      </c>
      <c r="I16">
        <f t="shared" si="1"/>
        <v>2259.6</v>
      </c>
    </row>
    <row r="17" spans="2:18" ht="15" customHeight="1" x14ac:dyDescent="0.25">
      <c r="B17" s="2" t="s">
        <v>23</v>
      </c>
      <c r="C17">
        <v>2524.33</v>
      </c>
      <c r="D17" s="2">
        <v>2915.62</v>
      </c>
      <c r="E17" s="2">
        <v>148.69</v>
      </c>
      <c r="F17" s="2">
        <v>212.16</v>
      </c>
      <c r="G17" s="2">
        <v>312.61</v>
      </c>
      <c r="H17">
        <f t="shared" si="0"/>
        <v>3589.08</v>
      </c>
      <c r="I17">
        <f t="shared" si="1"/>
        <v>3197.79</v>
      </c>
    </row>
    <row r="18" spans="2:18" ht="15" customHeight="1" x14ac:dyDescent="0.25">
      <c r="B18" s="2" t="s">
        <v>24</v>
      </c>
      <c r="C18">
        <v>3564.07</v>
      </c>
      <c r="D18" s="2">
        <v>4195.26</v>
      </c>
      <c r="E18" s="2">
        <v>216.34</v>
      </c>
      <c r="F18" s="2">
        <v>311.88</v>
      </c>
      <c r="G18" s="2">
        <v>461.88</v>
      </c>
      <c r="H18">
        <f t="shared" si="0"/>
        <v>5185.3600000000006</v>
      </c>
      <c r="I18">
        <f t="shared" si="1"/>
        <v>4554.17</v>
      </c>
    </row>
    <row r="19" spans="2:18" ht="15" customHeight="1" x14ac:dyDescent="0.25"/>
    <row r="20" spans="2:18" ht="15" customHeight="1" x14ac:dyDescent="0.25"/>
    <row r="21" spans="2:18" ht="15" customHeight="1" x14ac:dyDescent="0.25"/>
    <row r="22" spans="2:18" ht="15" customHeight="1" x14ac:dyDescent="0.25"/>
    <row r="23" spans="2:18" ht="15" customHeight="1" x14ac:dyDescent="0.25"/>
    <row r="24" spans="2:18" ht="15" customHeight="1" x14ac:dyDescent="0.25"/>
    <row r="25" spans="2:18" ht="15" customHeight="1" x14ac:dyDescent="0.25"/>
    <row r="26" spans="2:18" ht="15" customHeight="1" x14ac:dyDescent="0.25">
      <c r="N26" s="35" t="s">
        <v>0</v>
      </c>
      <c r="O26" s="8" t="s">
        <v>13</v>
      </c>
      <c r="P26" s="35" t="s">
        <v>15</v>
      </c>
      <c r="Q26" s="35" t="s">
        <v>16</v>
      </c>
      <c r="R26" s="35" t="s">
        <v>17</v>
      </c>
    </row>
    <row r="27" spans="2:18" ht="15" customHeight="1" x14ac:dyDescent="0.25">
      <c r="N27" s="13" t="s">
        <v>18</v>
      </c>
      <c r="O27" s="36">
        <v>25.36</v>
      </c>
      <c r="P27" s="7">
        <v>4.95</v>
      </c>
      <c r="Q27" s="7">
        <v>5.94</v>
      </c>
      <c r="R27" s="7">
        <v>6.57</v>
      </c>
    </row>
    <row r="28" spans="2:18" ht="15" customHeight="1" x14ac:dyDescent="0.25">
      <c r="N28" s="13" t="s">
        <v>19</v>
      </c>
      <c r="O28" s="36">
        <v>103.74</v>
      </c>
      <c r="P28" s="7">
        <v>12.63</v>
      </c>
      <c r="Q28" s="7">
        <v>16.149999999999999</v>
      </c>
      <c r="R28" s="7">
        <v>19.260000000000002</v>
      </c>
    </row>
    <row r="29" spans="2:18" ht="15" customHeight="1" x14ac:dyDescent="0.25">
      <c r="N29" s="13" t="s">
        <v>20</v>
      </c>
      <c r="O29" s="36">
        <v>204.91</v>
      </c>
      <c r="P29" s="7">
        <v>20.100000000000001</v>
      </c>
      <c r="Q29" s="7">
        <v>25.36</v>
      </c>
      <c r="R29" s="7">
        <v>32.950000000000003</v>
      </c>
    </row>
    <row r="30" spans="2:18" ht="15" customHeight="1" x14ac:dyDescent="0.25">
      <c r="N30" s="13" t="s">
        <v>21</v>
      </c>
      <c r="O30" s="36">
        <v>934.56</v>
      </c>
      <c r="P30" s="7">
        <v>57.74</v>
      </c>
      <c r="Q30" s="7">
        <v>81.459999999999994</v>
      </c>
      <c r="R30" s="7">
        <v>117.15</v>
      </c>
    </row>
    <row r="31" spans="2:18" ht="15" customHeight="1" x14ac:dyDescent="0.25">
      <c r="N31" s="13" t="s">
        <v>22</v>
      </c>
      <c r="O31" s="36">
        <v>1805.27</v>
      </c>
      <c r="P31" s="7">
        <v>103.38</v>
      </c>
      <c r="Q31" s="7">
        <v>141.81</v>
      </c>
      <c r="R31" s="7">
        <v>209.14</v>
      </c>
    </row>
    <row r="32" spans="2:18" ht="15" customHeight="1" x14ac:dyDescent="0.25">
      <c r="N32" s="13" t="s">
        <v>23</v>
      </c>
      <c r="O32" s="36">
        <v>2524.33</v>
      </c>
      <c r="P32" s="7">
        <v>148.69</v>
      </c>
      <c r="Q32" s="7">
        <v>212.16</v>
      </c>
      <c r="R32" s="7">
        <v>312.61</v>
      </c>
    </row>
    <row r="33" spans="14:18" ht="15" customHeight="1" x14ac:dyDescent="0.25">
      <c r="N33" s="13" t="s">
        <v>24</v>
      </c>
      <c r="O33" s="36">
        <v>3564.07</v>
      </c>
      <c r="P33" s="7">
        <v>216.34</v>
      </c>
      <c r="Q33" s="7">
        <v>311.88</v>
      </c>
      <c r="R33" s="7">
        <v>461.88</v>
      </c>
    </row>
    <row r="34" spans="14:18" ht="15" customHeight="1" x14ac:dyDescent="0.25"/>
    <row r="35" spans="14:18" ht="15" customHeight="1" x14ac:dyDescent="0.25"/>
    <row r="36" spans="14:18" ht="15" customHeight="1" x14ac:dyDescent="0.25"/>
    <row r="37" spans="14:18" ht="15" customHeight="1" x14ac:dyDescent="0.25"/>
    <row r="38" spans="14:18" ht="15" customHeight="1" x14ac:dyDescent="0.25"/>
    <row r="39" spans="14:18" ht="15" customHeight="1" x14ac:dyDescent="0.25"/>
    <row r="40" spans="14:18" ht="15" customHeight="1" x14ac:dyDescent="0.25"/>
    <row r="41" spans="14:18" ht="15" customHeight="1" x14ac:dyDescent="0.25"/>
    <row r="42" spans="14:18" ht="15" customHeight="1" x14ac:dyDescent="0.25"/>
    <row r="43" spans="14:18" ht="15" customHeight="1" x14ac:dyDescent="0.25"/>
    <row r="44" spans="14:18" ht="15" customHeight="1" x14ac:dyDescent="0.25"/>
    <row r="45" spans="14:18" ht="15" customHeight="1" x14ac:dyDescent="0.25"/>
    <row r="46" spans="14:18" ht="15" customHeight="1" x14ac:dyDescent="0.25"/>
    <row r="47" spans="14:18" ht="15" customHeight="1" x14ac:dyDescent="0.25"/>
    <row r="48" spans="14:1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536"/>
  <sheetViews>
    <sheetView tabSelected="1" zoomScaleNormal="100" workbookViewId="0">
      <selection activeCell="G4" sqref="G4:H7"/>
    </sheetView>
  </sheetViews>
  <sheetFormatPr defaultRowHeight="15" x14ac:dyDescent="0.25"/>
  <cols>
    <col min="1" max="1" width="8.85546875"/>
    <col min="2" max="2" width="13.28515625"/>
    <col min="3" max="3" width="8" bestFit="1" customWidth="1"/>
    <col min="4" max="4" width="13.42578125" bestFit="1" customWidth="1"/>
    <col min="5" max="5" width="8" bestFit="1" customWidth="1"/>
    <col min="6" max="6" width="13.42578125" bestFit="1" customWidth="1"/>
    <col min="7" max="7" width="7.42578125" bestFit="1" customWidth="1"/>
    <col min="8" max="8" width="13.42578125" bestFit="1" customWidth="1"/>
    <col min="9" max="1025" width="8.85546875"/>
  </cols>
  <sheetData>
    <row r="1" spans="2:8" ht="15" customHeight="1" x14ac:dyDescent="0.25">
      <c r="B1" s="51" t="s">
        <v>57</v>
      </c>
      <c r="C1" s="51"/>
      <c r="D1" s="51"/>
      <c r="E1" s="51"/>
      <c r="F1" s="51"/>
      <c r="G1" s="51"/>
      <c r="H1" s="51"/>
    </row>
    <row r="2" spans="2:8" ht="15" customHeight="1" x14ac:dyDescent="0.25">
      <c r="B2" t="s">
        <v>25</v>
      </c>
      <c r="C2" s="51" t="s">
        <v>16</v>
      </c>
      <c r="D2" s="51"/>
      <c r="E2" s="51" t="s">
        <v>17</v>
      </c>
      <c r="F2" s="51"/>
      <c r="G2" s="51" t="s">
        <v>15</v>
      </c>
      <c r="H2" s="51"/>
    </row>
    <row r="3" spans="2:8" ht="15" customHeight="1" x14ac:dyDescent="0.25">
      <c r="B3" t="s">
        <v>26</v>
      </c>
      <c r="C3" t="s">
        <v>27</v>
      </c>
      <c r="D3" t="s">
        <v>59</v>
      </c>
      <c r="E3" t="s">
        <v>27</v>
      </c>
      <c r="F3" t="s">
        <v>59</v>
      </c>
      <c r="G3" t="s">
        <v>27</v>
      </c>
      <c r="H3" t="s">
        <v>59</v>
      </c>
    </row>
    <row r="4" spans="2:8" ht="15" customHeight="1" x14ac:dyDescent="0.25">
      <c r="B4">
        <v>500</v>
      </c>
      <c r="C4">
        <v>37.65</v>
      </c>
      <c r="D4">
        <v>123.63</v>
      </c>
      <c r="E4">
        <v>1163.95</v>
      </c>
      <c r="F4">
        <v>189.62</v>
      </c>
      <c r="G4">
        <v>33.53</v>
      </c>
      <c r="H4">
        <v>91.52</v>
      </c>
    </row>
    <row r="5" spans="2:8" ht="15" customHeight="1" x14ac:dyDescent="0.25">
      <c r="B5">
        <v>1000</v>
      </c>
      <c r="C5">
        <v>76.540000000000006</v>
      </c>
      <c r="D5">
        <v>126.16</v>
      </c>
      <c r="E5">
        <v>1214.2</v>
      </c>
      <c r="F5">
        <v>208.47</v>
      </c>
      <c r="G5">
        <v>67.790000000000006</v>
      </c>
      <c r="H5">
        <v>93.08</v>
      </c>
    </row>
    <row r="6" spans="2:8" ht="15" customHeight="1" x14ac:dyDescent="0.25">
      <c r="B6">
        <v>2500</v>
      </c>
      <c r="C6">
        <v>144.56</v>
      </c>
      <c r="D6">
        <v>126.07</v>
      </c>
      <c r="E6">
        <v>1303.8900000000001</v>
      </c>
      <c r="F6">
        <v>204.18</v>
      </c>
      <c r="G6">
        <v>129.44</v>
      </c>
      <c r="H6">
        <v>95.24</v>
      </c>
    </row>
    <row r="7" spans="2:8" ht="15" customHeight="1" x14ac:dyDescent="0.25">
      <c r="B7">
        <v>5000</v>
      </c>
      <c r="C7">
        <v>201.26</v>
      </c>
      <c r="D7">
        <v>130.16</v>
      </c>
      <c r="E7">
        <v>1395.1</v>
      </c>
      <c r="F7">
        <v>201.51</v>
      </c>
      <c r="G7">
        <v>179.9</v>
      </c>
      <c r="H7">
        <v>97.72</v>
      </c>
    </row>
    <row r="8" spans="2:8" ht="15" customHeight="1" x14ac:dyDescent="0.25"/>
    <row r="9" spans="2:8" ht="15" customHeight="1" x14ac:dyDescent="0.25">
      <c r="B9" s="51" t="s">
        <v>58</v>
      </c>
      <c r="C9" s="51"/>
      <c r="D9" s="51"/>
      <c r="E9" s="51"/>
      <c r="F9" s="51"/>
      <c r="G9" s="51"/>
      <c r="H9" s="51"/>
    </row>
    <row r="10" spans="2:8" ht="15" customHeight="1" x14ac:dyDescent="0.25">
      <c r="B10" t="s">
        <v>25</v>
      </c>
      <c r="C10" s="51" t="s">
        <v>16</v>
      </c>
      <c r="D10" s="51"/>
      <c r="E10" s="51" t="s">
        <v>17</v>
      </c>
      <c r="F10" s="51"/>
      <c r="G10" s="51" t="s">
        <v>15</v>
      </c>
      <c r="H10" s="51"/>
    </row>
    <row r="11" spans="2:8" ht="15" customHeight="1" x14ac:dyDescent="0.25">
      <c r="B11" t="s">
        <v>26</v>
      </c>
      <c r="C11" t="s">
        <v>28</v>
      </c>
      <c r="D11" t="s">
        <v>59</v>
      </c>
      <c r="E11" t="s">
        <v>28</v>
      </c>
      <c r="F11" t="s">
        <v>59</v>
      </c>
      <c r="G11" t="s">
        <v>28</v>
      </c>
      <c r="H11" t="s">
        <v>59</v>
      </c>
    </row>
    <row r="12" spans="2:8" ht="15" customHeight="1" x14ac:dyDescent="0.25">
      <c r="B12">
        <v>500</v>
      </c>
      <c r="C12">
        <v>1.08</v>
      </c>
      <c r="D12">
        <v>122.36</v>
      </c>
      <c r="E12">
        <v>1129.3499999999999</v>
      </c>
      <c r="F12">
        <v>198.35</v>
      </c>
      <c r="G12">
        <v>91.33</v>
      </c>
      <c r="H12">
        <v>91.91</v>
      </c>
    </row>
    <row r="13" spans="2:8" ht="15" customHeight="1" x14ac:dyDescent="0.25">
      <c r="B13">
        <v>1000</v>
      </c>
      <c r="C13">
        <v>1.38</v>
      </c>
      <c r="D13">
        <v>123.42</v>
      </c>
      <c r="E13">
        <v>1135.08</v>
      </c>
      <c r="F13">
        <v>199.2</v>
      </c>
      <c r="G13">
        <v>92</v>
      </c>
      <c r="H13">
        <v>92.88</v>
      </c>
    </row>
    <row r="14" spans="2:8" ht="15" customHeight="1" x14ac:dyDescent="0.25">
      <c r="B14">
        <v>2500</v>
      </c>
      <c r="C14">
        <v>1.51</v>
      </c>
      <c r="D14">
        <v>126.64</v>
      </c>
      <c r="E14">
        <v>1160.26</v>
      </c>
      <c r="F14">
        <v>195.09</v>
      </c>
      <c r="G14">
        <v>93.15</v>
      </c>
      <c r="H14">
        <v>94.52</v>
      </c>
    </row>
    <row r="15" spans="2:8" ht="15" customHeight="1" x14ac:dyDescent="0.25">
      <c r="B15">
        <v>5000</v>
      </c>
      <c r="C15">
        <v>1.6</v>
      </c>
      <c r="D15">
        <v>129.76</v>
      </c>
      <c r="E15">
        <v>1202.71</v>
      </c>
      <c r="F15">
        <v>203.01</v>
      </c>
      <c r="G15">
        <v>96.03</v>
      </c>
      <c r="H15">
        <v>97.4</v>
      </c>
    </row>
    <row r="16" spans="2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8">
    <mergeCell ref="B1:H1"/>
    <mergeCell ref="E2:F2"/>
    <mergeCell ref="C2:D2"/>
    <mergeCell ref="G2:H2"/>
    <mergeCell ref="C10:D10"/>
    <mergeCell ref="E10:F10"/>
    <mergeCell ref="G10:H10"/>
    <mergeCell ref="B9:H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65536"/>
  <sheetViews>
    <sheetView topLeftCell="L1" zoomScaleNormal="100" workbookViewId="0">
      <selection activeCell="M7" sqref="M7:P14"/>
    </sheetView>
  </sheetViews>
  <sheetFormatPr defaultRowHeight="15" x14ac:dyDescent="0.25"/>
  <cols>
    <col min="1" max="2" width="8.85546875"/>
    <col min="3" max="3" width="10.28515625"/>
    <col min="4" max="4" width="8.85546875"/>
    <col min="5" max="5" width="15.85546875"/>
    <col min="6" max="7" width="12.5703125"/>
    <col min="8" max="8" width="20.42578125"/>
    <col min="9" max="9" width="12.5703125"/>
    <col min="10" max="10" width="10"/>
    <col min="11" max="11" width="8.85546875"/>
    <col min="12" max="12" width="20.42578125"/>
    <col min="13" max="13" width="8.5703125"/>
    <col min="14" max="14" width="9.5703125" bestFit="1" customWidth="1"/>
    <col min="15" max="15" width="11" bestFit="1" customWidth="1"/>
    <col min="16" max="19" width="8.85546875"/>
    <col min="20" max="20" width="17.5703125"/>
    <col min="21" max="1025" width="8.85546875"/>
  </cols>
  <sheetData>
    <row r="1" spans="4:22" ht="15" customHeight="1" x14ac:dyDescent="0.25"/>
    <row r="2" spans="4:22" ht="15" customHeight="1" x14ac:dyDescent="0.25"/>
    <row r="3" spans="4:22" ht="15" customHeight="1" x14ac:dyDescent="0.25"/>
    <row r="4" spans="4:22" ht="15" customHeight="1" x14ac:dyDescent="0.25">
      <c r="T4" t="s">
        <v>29</v>
      </c>
      <c r="U4">
        <v>1411387</v>
      </c>
      <c r="V4">
        <v>391</v>
      </c>
    </row>
    <row r="5" spans="4:22" ht="15" customHeight="1" x14ac:dyDescent="0.25">
      <c r="T5" t="s">
        <v>30</v>
      </c>
      <c r="U5">
        <v>1484230</v>
      </c>
      <c r="V5">
        <v>221</v>
      </c>
    </row>
    <row r="6" spans="4:22" ht="15" customHeight="1" x14ac:dyDescent="0.25">
      <c r="T6" t="s">
        <v>31</v>
      </c>
      <c r="U6">
        <v>7536</v>
      </c>
      <c r="V6">
        <v>52</v>
      </c>
    </row>
    <row r="7" spans="4:22" ht="15.75" customHeight="1" x14ac:dyDescent="0.25">
      <c r="M7" s="2" t="s">
        <v>0</v>
      </c>
      <c r="N7" s="2" t="s">
        <v>32</v>
      </c>
      <c r="O7" s="2" t="s">
        <v>3</v>
      </c>
      <c r="P7" s="28" t="s">
        <v>50</v>
      </c>
      <c r="T7" t="s">
        <v>33</v>
      </c>
      <c r="U7">
        <v>80548</v>
      </c>
      <c r="V7">
        <f>ROUND(9960/1024, 2)</f>
        <v>9.73</v>
      </c>
    </row>
    <row r="8" spans="4:22" ht="15.75" customHeight="1" x14ac:dyDescent="0.25">
      <c r="E8" s="48" t="s">
        <v>32</v>
      </c>
      <c r="F8" s="48"/>
      <c r="G8" s="48"/>
      <c r="H8" s="49" t="s">
        <v>3</v>
      </c>
      <c r="I8" s="49"/>
      <c r="J8" s="49"/>
      <c r="M8" s="2" t="s">
        <v>4</v>
      </c>
      <c r="N8" s="2">
        <v>9.31</v>
      </c>
      <c r="O8" s="2">
        <v>11.75</v>
      </c>
      <c r="P8" s="37">
        <f>(O8-N8)/O8</f>
        <v>0.20765957446808506</v>
      </c>
      <c r="T8" t="s">
        <v>34</v>
      </c>
      <c r="U8">
        <v>59762</v>
      </c>
      <c r="V8">
        <f>ROUND(6000/1024, 2)</f>
        <v>5.86</v>
      </c>
    </row>
    <row r="9" spans="4:22" ht="15.75" customHeight="1" x14ac:dyDescent="0.25">
      <c r="D9" s="14"/>
      <c r="E9" s="15" t="s">
        <v>35</v>
      </c>
      <c r="F9" s="16" t="s">
        <v>36</v>
      </c>
      <c r="G9" s="17" t="s">
        <v>37</v>
      </c>
      <c r="H9" s="15" t="s">
        <v>38</v>
      </c>
      <c r="I9" s="16" t="s">
        <v>36</v>
      </c>
      <c r="J9" s="18" t="s">
        <v>37</v>
      </c>
      <c r="M9" s="2" t="s">
        <v>5</v>
      </c>
      <c r="N9" s="2">
        <v>27.05</v>
      </c>
      <c r="O9" s="2">
        <v>41.04</v>
      </c>
      <c r="P9" s="37">
        <f t="shared" ref="P9:P12" si="0">(O9-N9)/O9</f>
        <v>0.34088693957115007</v>
      </c>
      <c r="T9" t="s">
        <v>39</v>
      </c>
      <c r="U9">
        <v>7192</v>
      </c>
      <c r="V9">
        <f>ROUND(680/1024, 2)</f>
        <v>0.66</v>
      </c>
    </row>
    <row r="10" spans="4:22" ht="15" customHeight="1" x14ac:dyDescent="0.25">
      <c r="D10" s="50" t="s">
        <v>4</v>
      </c>
      <c r="E10" s="38" t="s">
        <v>31</v>
      </c>
      <c r="F10" s="39">
        <v>93</v>
      </c>
      <c r="G10" s="39">
        <f>ROUND(1481264/1024/1024, 2)</f>
        <v>1.41</v>
      </c>
      <c r="H10" s="19" t="s">
        <v>31</v>
      </c>
      <c r="I10" s="20">
        <v>93</v>
      </c>
      <c r="J10" s="20">
        <f>ROUND(864/1024, 2)</f>
        <v>0.84</v>
      </c>
      <c r="M10" s="2" t="s">
        <v>6</v>
      </c>
      <c r="N10" s="2">
        <v>51.05</v>
      </c>
      <c r="O10" s="2">
        <v>80.48</v>
      </c>
      <c r="P10" s="37">
        <f t="shared" si="0"/>
        <v>0.36568091451292251</v>
      </c>
      <c r="T10" t="s">
        <v>40</v>
      </c>
      <c r="U10">
        <v>4</v>
      </c>
      <c r="V10">
        <f>ROUND(32/1024, 2)</f>
        <v>0.03</v>
      </c>
    </row>
    <row r="11" spans="4:22" ht="15" customHeight="1" x14ac:dyDescent="0.25">
      <c r="D11" s="50"/>
      <c r="E11" s="38" t="s">
        <v>34</v>
      </c>
      <c r="F11" s="39">
        <v>93</v>
      </c>
      <c r="G11" s="39">
        <f>ROUND(2130480/1024/1024, 2)</f>
        <v>2.0299999999999998</v>
      </c>
      <c r="H11" s="19" t="s">
        <v>41</v>
      </c>
      <c r="I11" s="20">
        <v>0</v>
      </c>
      <c r="J11" s="20">
        <f>ROUND(24/1024, 2)</f>
        <v>0.02</v>
      </c>
      <c r="M11" s="2" t="s">
        <v>7</v>
      </c>
      <c r="N11" s="2">
        <v>217.77</v>
      </c>
      <c r="O11" s="2">
        <v>357.66</v>
      </c>
      <c r="P11" s="37">
        <f t="shared" si="0"/>
        <v>0.39112565005871497</v>
      </c>
      <c r="T11" t="s">
        <v>42</v>
      </c>
      <c r="U11">
        <v>18</v>
      </c>
      <c r="V11">
        <f>ROUND(32/1024, 2)</f>
        <v>0.03</v>
      </c>
    </row>
    <row r="12" spans="4:22" ht="15" customHeight="1" x14ac:dyDescent="0.25">
      <c r="D12" s="50"/>
      <c r="E12" s="38" t="s">
        <v>43</v>
      </c>
      <c r="F12" s="39">
        <v>6838</v>
      </c>
      <c r="G12" s="39">
        <f>ROUND(765856/1024/1024, 2)</f>
        <v>0.73</v>
      </c>
      <c r="H12" s="19" t="s">
        <v>42</v>
      </c>
      <c r="I12" s="20">
        <v>7</v>
      </c>
      <c r="J12" s="20">
        <f>ROUND(32/1024, 2)</f>
        <v>0.03</v>
      </c>
      <c r="M12" s="2" t="s">
        <v>8</v>
      </c>
      <c r="N12" s="2">
        <v>409.78</v>
      </c>
      <c r="O12" s="2">
        <v>680.35</v>
      </c>
      <c r="P12" s="37">
        <f t="shared" si="0"/>
        <v>0.39769236422429638</v>
      </c>
      <c r="T12" t="s">
        <v>41</v>
      </c>
      <c r="U12">
        <v>0</v>
      </c>
      <c r="V12">
        <f>ROUND(24/1024, 2)</f>
        <v>0.02</v>
      </c>
    </row>
    <row r="13" spans="4:22" ht="15" customHeight="1" x14ac:dyDescent="0.25">
      <c r="D13" s="50"/>
      <c r="E13" s="38" t="s">
        <v>44</v>
      </c>
      <c r="F13" s="39">
        <v>6838</v>
      </c>
      <c r="G13" s="39">
        <f>ROUND(1084448/1024/1024, 2)</f>
        <v>1.03</v>
      </c>
      <c r="H13" s="19" t="s">
        <v>45</v>
      </c>
      <c r="I13" s="20">
        <v>0</v>
      </c>
      <c r="J13" s="20">
        <f>ROUND(16/1024, 2)</f>
        <v>0.02</v>
      </c>
      <c r="M13" s="2" t="s">
        <v>9</v>
      </c>
      <c r="N13" s="2">
        <v>596.73</v>
      </c>
      <c r="O13" s="2" t="s">
        <v>10</v>
      </c>
      <c r="P13" s="2" t="s">
        <v>10</v>
      </c>
      <c r="T13" t="s">
        <v>46</v>
      </c>
      <c r="U13">
        <v>0</v>
      </c>
      <c r="V13">
        <f>ROUND(16/1024, 2)</f>
        <v>0.02</v>
      </c>
    </row>
    <row r="14" spans="4:22" ht="15" customHeight="1" x14ac:dyDescent="0.25">
      <c r="D14" s="50"/>
      <c r="E14" s="38" t="s">
        <v>29</v>
      </c>
      <c r="F14" s="39">
        <v>6838</v>
      </c>
      <c r="G14" s="39">
        <f>ROUND(2535072/1024/1024, 2)</f>
        <v>2.42</v>
      </c>
      <c r="H14" s="19" t="s">
        <v>39</v>
      </c>
      <c r="I14" s="20">
        <v>93</v>
      </c>
      <c r="J14" s="20">
        <f>ROUND(40/1024, 2)</f>
        <v>0.04</v>
      </c>
      <c r="M14" s="2" t="s">
        <v>11</v>
      </c>
      <c r="N14" s="2">
        <v>872.82</v>
      </c>
      <c r="O14" s="2" t="s">
        <v>10</v>
      </c>
      <c r="P14" s="2" t="s">
        <v>10</v>
      </c>
      <c r="V14">
        <f>SUM(V4:V13)</f>
        <v>680.34999999999991</v>
      </c>
    </row>
    <row r="15" spans="4:22" ht="15" customHeight="1" x14ac:dyDescent="0.25">
      <c r="D15" s="50"/>
      <c r="E15" s="38" t="s">
        <v>34</v>
      </c>
      <c r="F15" s="39">
        <v>93</v>
      </c>
      <c r="G15" s="39">
        <f>ROUND(2130480/1024/1024, 2)</f>
        <v>2.0299999999999998</v>
      </c>
      <c r="H15" s="19" t="s">
        <v>34</v>
      </c>
      <c r="I15" s="20">
        <v>6838</v>
      </c>
      <c r="J15" s="20">
        <f>ROUND(760/1024, 2)</f>
        <v>0.74</v>
      </c>
    </row>
    <row r="16" spans="4:22" ht="15" customHeight="1" x14ac:dyDescent="0.25">
      <c r="D16" s="50"/>
      <c r="E16" s="38" t="s">
        <v>43</v>
      </c>
      <c r="F16" s="39">
        <v>6838</v>
      </c>
      <c r="G16" s="39" t="s">
        <v>47</v>
      </c>
      <c r="H16" s="19" t="s">
        <v>40</v>
      </c>
      <c r="I16" s="20">
        <v>4</v>
      </c>
      <c r="J16" s="20">
        <f>ROUND(32/1024, 2)</f>
        <v>0.03</v>
      </c>
    </row>
    <row r="17" spans="4:10" ht="15" customHeight="1" x14ac:dyDescent="0.25">
      <c r="D17" s="50"/>
      <c r="E17" s="38" t="s">
        <v>44</v>
      </c>
      <c r="F17" s="39">
        <v>6838</v>
      </c>
      <c r="G17" s="39" t="s">
        <v>48</v>
      </c>
      <c r="H17" s="19" t="s">
        <v>33</v>
      </c>
      <c r="I17" s="20">
        <v>8073</v>
      </c>
      <c r="J17" s="20">
        <f>ROUND(1080/1024, 2)</f>
        <v>1.05</v>
      </c>
    </row>
    <row r="18" spans="4:10" ht="15" customHeight="1" x14ac:dyDescent="0.25">
      <c r="D18" s="50"/>
      <c r="E18" s="18" t="s">
        <v>29</v>
      </c>
      <c r="F18" s="20">
        <v>6838</v>
      </c>
      <c r="G18" s="20">
        <f>ROUND(2535072/1024/1024, 2)</f>
        <v>2.42</v>
      </c>
      <c r="H18" s="19" t="s">
        <v>30</v>
      </c>
      <c r="I18" s="20">
        <v>20104</v>
      </c>
      <c r="J18" s="20">
        <f>ROUND(3128/1024, 2)</f>
        <v>3.05</v>
      </c>
    </row>
    <row r="19" spans="4:10" ht="15" customHeight="1" x14ac:dyDescent="0.25">
      <c r="D19" s="50"/>
      <c r="E19" s="18" t="s">
        <v>44</v>
      </c>
      <c r="F19" s="20">
        <v>6838</v>
      </c>
      <c r="G19" s="20">
        <f>ROUND(1084448/1024/1024, 2)</f>
        <v>1.03</v>
      </c>
      <c r="H19" s="44" t="s">
        <v>29</v>
      </c>
      <c r="I19" s="39">
        <v>19596</v>
      </c>
      <c r="J19" s="39">
        <f>ROUND(5776/1024, 2)</f>
        <v>5.64</v>
      </c>
    </row>
    <row r="20" spans="4:10" ht="15.75" customHeight="1" x14ac:dyDescent="0.25">
      <c r="D20" s="50"/>
      <c r="E20" s="18" t="s">
        <v>29</v>
      </c>
      <c r="F20" s="20">
        <v>6838</v>
      </c>
      <c r="G20" s="20">
        <f>ROUND(2535072/1024/1024, 2)</f>
        <v>2.42</v>
      </c>
      <c r="H20" s="44"/>
      <c r="I20" s="39"/>
      <c r="J20" s="39"/>
    </row>
    <row r="21" spans="4:10" ht="15.75" customHeight="1" x14ac:dyDescent="0.25">
      <c r="D21" s="50"/>
      <c r="E21" s="17" t="s">
        <v>49</v>
      </c>
      <c r="F21" s="21"/>
      <c r="G21" s="17">
        <f>SUM(G10, G15,G18,G19,G20)</f>
        <v>9.3099999999999987</v>
      </c>
      <c r="H21" s="22" t="s">
        <v>49</v>
      </c>
      <c r="I21" s="21"/>
      <c r="J21" s="18">
        <f>SUM(J10:J19)</f>
        <v>11.46</v>
      </c>
    </row>
    <row r="22" spans="4:10" ht="15" customHeight="1" x14ac:dyDescent="0.25">
      <c r="D22" s="40" t="s">
        <v>5</v>
      </c>
      <c r="E22" s="38" t="s">
        <v>31</v>
      </c>
      <c r="F22" s="39">
        <v>403</v>
      </c>
      <c r="G22" s="39">
        <f>ROUND(6018768/1024/1024, 2)</f>
        <v>5.74</v>
      </c>
      <c r="H22" s="19" t="s">
        <v>31</v>
      </c>
      <c r="I22" s="20">
        <v>403</v>
      </c>
      <c r="J22" s="20">
        <f>ROUND(3136/1024, 2)</f>
        <v>3.06</v>
      </c>
    </row>
    <row r="23" spans="4:10" ht="15" customHeight="1" x14ac:dyDescent="0.25">
      <c r="D23" s="40"/>
      <c r="E23" s="38" t="s">
        <v>34</v>
      </c>
      <c r="F23" s="39">
        <v>403</v>
      </c>
      <c r="G23" s="39">
        <f>ROUND(8890576/1024/1024, 2)</f>
        <v>8.48</v>
      </c>
      <c r="H23" s="19" t="s">
        <v>41</v>
      </c>
      <c r="I23" s="20">
        <v>0</v>
      </c>
      <c r="J23" s="20">
        <f>ROUND(24/1024, 2)</f>
        <v>0.02</v>
      </c>
    </row>
    <row r="24" spans="4:10" ht="15" customHeight="1" x14ac:dyDescent="0.25">
      <c r="D24" s="40"/>
      <c r="E24" s="38" t="s">
        <v>43</v>
      </c>
      <c r="F24" s="39">
        <v>14932</v>
      </c>
      <c r="G24" s="39">
        <f>ROUND(1672384/1024/1024, 2)</f>
        <v>1.59</v>
      </c>
      <c r="H24" s="19" t="s">
        <v>42</v>
      </c>
      <c r="I24" s="20">
        <v>17</v>
      </c>
      <c r="J24" s="20">
        <f>ROUND(32/1024, 2)</f>
        <v>0.03</v>
      </c>
    </row>
    <row r="25" spans="4:10" ht="15" customHeight="1" x14ac:dyDescent="0.25">
      <c r="D25" s="40"/>
      <c r="E25" s="38" t="s">
        <v>44</v>
      </c>
      <c r="F25" s="39">
        <v>14932</v>
      </c>
      <c r="G25" s="39">
        <f>ROUND(3263552/1024/1024, 2)</f>
        <v>3.11</v>
      </c>
      <c r="H25" s="19" t="s">
        <v>45</v>
      </c>
      <c r="I25" s="20">
        <v>0</v>
      </c>
      <c r="J25" s="20">
        <f>ROUND(16/1024, 2)</f>
        <v>0.02</v>
      </c>
    </row>
    <row r="26" spans="4:10" ht="15" customHeight="1" x14ac:dyDescent="0.25">
      <c r="D26" s="40"/>
      <c r="E26" s="38" t="s">
        <v>29</v>
      </c>
      <c r="F26" s="39">
        <v>14932</v>
      </c>
      <c r="G26" s="39">
        <f>ROUND(8526528/1024/1024, 2)</f>
        <v>8.1300000000000008</v>
      </c>
      <c r="H26" s="19" t="s">
        <v>39</v>
      </c>
      <c r="I26" s="20">
        <v>403</v>
      </c>
      <c r="J26" s="20">
        <f>ROUND(72/1024, 2)</f>
        <v>7.0000000000000007E-2</v>
      </c>
    </row>
    <row r="27" spans="4:10" ht="15" customHeight="1" x14ac:dyDescent="0.25">
      <c r="D27" s="40"/>
      <c r="E27" s="38" t="s">
        <v>34</v>
      </c>
      <c r="F27" s="39">
        <v>403</v>
      </c>
      <c r="G27" s="47">
        <f>ROUND(8890576/1024/1024, 2)</f>
        <v>8.48</v>
      </c>
      <c r="H27" s="19" t="s">
        <v>34</v>
      </c>
      <c r="I27" s="20">
        <v>14924</v>
      </c>
      <c r="J27" s="20">
        <f>ROUND(1576/1024, 2)</f>
        <v>1.54</v>
      </c>
    </row>
    <row r="28" spans="4:10" ht="15" customHeight="1" x14ac:dyDescent="0.25">
      <c r="D28" s="40"/>
      <c r="E28" s="38"/>
      <c r="F28" s="39"/>
      <c r="G28" s="47"/>
      <c r="H28" s="19" t="s">
        <v>40</v>
      </c>
      <c r="I28" s="20">
        <v>4</v>
      </c>
      <c r="J28" s="20">
        <f>ROUND(32/1024, 2)</f>
        <v>0.03</v>
      </c>
    </row>
    <row r="29" spans="4:10" ht="15" customHeight="1" x14ac:dyDescent="0.25">
      <c r="D29" s="40"/>
      <c r="E29" s="38"/>
      <c r="F29" s="39"/>
      <c r="G29" s="47"/>
      <c r="H29" s="19" t="s">
        <v>33</v>
      </c>
      <c r="I29" s="20">
        <v>18322</v>
      </c>
      <c r="J29" s="20">
        <f>ROUND(2328/1024, 2)</f>
        <v>2.27</v>
      </c>
    </row>
    <row r="30" spans="4:10" ht="15" customHeight="1" x14ac:dyDescent="0.25">
      <c r="D30" s="40"/>
      <c r="E30" s="18" t="s">
        <v>43</v>
      </c>
      <c r="F30" s="20">
        <v>14924</v>
      </c>
      <c r="G30" s="20">
        <f>ROUND(1671488/1024/1024, 2)</f>
        <v>1.59</v>
      </c>
      <c r="H30" s="19" t="s">
        <v>30</v>
      </c>
      <c r="I30" s="20">
        <v>84209</v>
      </c>
      <c r="J30" s="20">
        <v>12</v>
      </c>
    </row>
    <row r="31" spans="4:10" ht="15" customHeight="1" x14ac:dyDescent="0.25">
      <c r="D31" s="40"/>
      <c r="E31" s="18" t="s">
        <v>44</v>
      </c>
      <c r="F31" s="20">
        <v>14924</v>
      </c>
      <c r="G31" s="20">
        <f>ROUND(3262656/1024/1024, 2)</f>
        <v>3.11</v>
      </c>
      <c r="H31" s="44" t="s">
        <v>29</v>
      </c>
      <c r="I31" s="39">
        <v>82115</v>
      </c>
      <c r="J31" s="39">
        <v>23</v>
      </c>
    </row>
    <row r="32" spans="4:10" ht="15.75" customHeight="1" x14ac:dyDescent="0.25">
      <c r="D32" s="40"/>
      <c r="E32" s="18" t="s">
        <v>29</v>
      </c>
      <c r="F32" s="20">
        <v>14924</v>
      </c>
      <c r="G32" s="20">
        <f>ROUND(8524608/1024/1024, 2)</f>
        <v>8.1300000000000008</v>
      </c>
      <c r="H32" s="44"/>
      <c r="I32" s="39"/>
      <c r="J32" s="39"/>
    </row>
    <row r="33" spans="4:10" ht="15.75" customHeight="1" x14ac:dyDescent="0.25">
      <c r="D33" s="40"/>
      <c r="E33" s="18" t="s">
        <v>49</v>
      </c>
      <c r="F33" s="20"/>
      <c r="G33" s="23">
        <v>27.05</v>
      </c>
      <c r="H33" s="18" t="s">
        <v>49</v>
      </c>
      <c r="I33" s="20"/>
      <c r="J33" s="18">
        <f>SUM(J22:J32)</f>
        <v>42.04</v>
      </c>
    </row>
    <row r="34" spans="4:10" ht="15" customHeight="1" x14ac:dyDescent="0.25">
      <c r="D34" s="40" t="s">
        <v>6</v>
      </c>
      <c r="E34" s="41" t="s">
        <v>31</v>
      </c>
      <c r="F34" s="46">
        <v>761</v>
      </c>
      <c r="G34" s="43">
        <f>ROUND(11966576/1024/1024, 2)</f>
        <v>11.41</v>
      </c>
      <c r="H34" s="17" t="s">
        <v>31</v>
      </c>
      <c r="I34" s="21">
        <v>761</v>
      </c>
      <c r="J34" s="21">
        <f>ROUND(6088/1024, 2)</f>
        <v>5.95</v>
      </c>
    </row>
    <row r="35" spans="4:10" ht="15" customHeight="1" x14ac:dyDescent="0.25">
      <c r="D35" s="40"/>
      <c r="E35" s="41"/>
      <c r="F35" s="46"/>
      <c r="G35" s="43"/>
      <c r="H35" s="18" t="s">
        <v>41</v>
      </c>
      <c r="I35" s="20">
        <v>0</v>
      </c>
      <c r="J35" s="20">
        <f>ROUND(24/1024, 2)</f>
        <v>0.02</v>
      </c>
    </row>
    <row r="36" spans="4:10" ht="15" customHeight="1" x14ac:dyDescent="0.25">
      <c r="D36" s="40"/>
      <c r="E36" s="41"/>
      <c r="F36" s="46"/>
      <c r="G36" s="43"/>
      <c r="H36" s="18" t="s">
        <v>42</v>
      </c>
      <c r="I36" s="20">
        <v>17</v>
      </c>
      <c r="J36" s="20">
        <f>ROUND(32/1024, 2)</f>
        <v>0.03</v>
      </c>
    </row>
    <row r="37" spans="4:10" ht="15" customHeight="1" x14ac:dyDescent="0.25">
      <c r="D37" s="40"/>
      <c r="E37" s="41"/>
      <c r="F37" s="46"/>
      <c r="G37" s="43"/>
      <c r="H37" s="18" t="s">
        <v>45</v>
      </c>
      <c r="I37" s="20">
        <v>0</v>
      </c>
      <c r="J37" s="20">
        <f>ROUND(16/1024, 2)</f>
        <v>0.02</v>
      </c>
    </row>
    <row r="38" spans="4:10" ht="15" customHeight="1" x14ac:dyDescent="0.25">
      <c r="D38" s="40"/>
      <c r="E38" s="41"/>
      <c r="F38" s="46"/>
      <c r="G38" s="43"/>
      <c r="H38" s="18" t="s">
        <v>39</v>
      </c>
      <c r="I38" s="20">
        <v>761</v>
      </c>
      <c r="J38" s="20">
        <f>ROUND(128/1024, 2)</f>
        <v>0.13</v>
      </c>
    </row>
    <row r="39" spans="4:10" ht="15" customHeight="1" x14ac:dyDescent="0.25">
      <c r="D39" s="40"/>
      <c r="E39" s="19" t="s">
        <v>34</v>
      </c>
      <c r="F39" s="20">
        <v>761</v>
      </c>
      <c r="G39" s="23">
        <f>ROUND(16548464/1024/1024, 2)</f>
        <v>15.78</v>
      </c>
      <c r="H39" s="18" t="s">
        <v>34</v>
      </c>
      <c r="I39" s="20">
        <v>21189</v>
      </c>
      <c r="J39" s="20">
        <f>ROUND(2112/1024, 2)</f>
        <v>2.06</v>
      </c>
    </row>
    <row r="40" spans="4:10" ht="15" customHeight="1" x14ac:dyDescent="0.25">
      <c r="D40" s="40"/>
      <c r="E40" s="19"/>
      <c r="F40" s="20"/>
      <c r="G40" s="23"/>
      <c r="H40" s="18" t="s">
        <v>40</v>
      </c>
      <c r="I40" s="20">
        <v>4</v>
      </c>
      <c r="J40" s="20">
        <f>ROUND(32/1024, 2)</f>
        <v>0.03</v>
      </c>
    </row>
    <row r="41" spans="4:10" ht="15" customHeight="1" x14ac:dyDescent="0.25">
      <c r="D41" s="40"/>
      <c r="E41" s="19"/>
      <c r="F41" s="20"/>
      <c r="G41" s="23"/>
      <c r="H41" s="18" t="s">
        <v>33</v>
      </c>
      <c r="I41" s="20">
        <v>26551</v>
      </c>
      <c r="J41" s="20">
        <f>ROUND(3328/1024, 2)</f>
        <v>3.25</v>
      </c>
    </row>
    <row r="42" spans="4:10" ht="15" customHeight="1" x14ac:dyDescent="0.25">
      <c r="D42" s="40"/>
      <c r="E42" s="19" t="s">
        <v>43</v>
      </c>
      <c r="F42" s="20">
        <v>21189</v>
      </c>
      <c r="G42" s="23">
        <f>ROUND(2373296/1024/1024, 2)</f>
        <v>2.2599999999999998</v>
      </c>
      <c r="H42" s="18" t="s">
        <v>30</v>
      </c>
      <c r="I42" s="20">
        <v>167341</v>
      </c>
      <c r="J42" s="20">
        <v>25</v>
      </c>
    </row>
    <row r="43" spans="4:10" ht="15" customHeight="1" x14ac:dyDescent="0.25">
      <c r="D43" s="40"/>
      <c r="E43" s="19" t="s">
        <v>44</v>
      </c>
      <c r="F43" s="20">
        <v>21189</v>
      </c>
      <c r="G43" s="23">
        <f>ROUND(5692720/1024/1024, 2)</f>
        <v>5.43</v>
      </c>
      <c r="H43" s="38" t="s">
        <v>29</v>
      </c>
      <c r="I43" s="39">
        <v>163158</v>
      </c>
      <c r="J43" s="39">
        <v>45</v>
      </c>
    </row>
    <row r="44" spans="4:10" ht="15.75" customHeight="1" x14ac:dyDescent="0.25">
      <c r="D44" s="40"/>
      <c r="E44" s="24" t="s">
        <v>29</v>
      </c>
      <c r="F44" s="25">
        <v>21189</v>
      </c>
      <c r="G44" s="26">
        <f>ROUND(15736240/1024/1024, 2)</f>
        <v>15.01</v>
      </c>
      <c r="H44" s="38"/>
      <c r="I44" s="39"/>
      <c r="J44" s="39"/>
    </row>
    <row r="45" spans="4:10" ht="15.75" customHeight="1" x14ac:dyDescent="0.25">
      <c r="D45" s="40"/>
      <c r="E45" s="18" t="s">
        <v>49</v>
      </c>
      <c r="F45" s="20"/>
      <c r="G45" s="23">
        <f>SUM(G34:G44)</f>
        <v>49.889999999999993</v>
      </c>
      <c r="H45" s="17" t="s">
        <v>49</v>
      </c>
      <c r="I45" s="21"/>
      <c r="J45" s="17">
        <f>SUM(J34:J44)</f>
        <v>81.489999999999995</v>
      </c>
    </row>
    <row r="46" spans="4:10" ht="15" customHeight="1" x14ac:dyDescent="0.25">
      <c r="D46" s="40" t="s">
        <v>7</v>
      </c>
      <c r="E46" s="41" t="s">
        <v>31</v>
      </c>
      <c r="F46" s="42">
        <v>3479</v>
      </c>
      <c r="G46" s="43">
        <f>ROUND(55543952/1024/1024, 2)</f>
        <v>52.97</v>
      </c>
      <c r="H46" s="18" t="s">
        <v>31</v>
      </c>
      <c r="I46" s="20">
        <v>3497</v>
      </c>
      <c r="J46" s="20">
        <v>27</v>
      </c>
    </row>
    <row r="47" spans="4:10" ht="15" customHeight="1" x14ac:dyDescent="0.25">
      <c r="D47" s="40"/>
      <c r="E47" s="41"/>
      <c r="F47" s="42"/>
      <c r="G47" s="43"/>
      <c r="H47" s="18" t="s">
        <v>41</v>
      </c>
      <c r="I47" s="20">
        <v>0</v>
      </c>
      <c r="J47" s="20">
        <f>ROUND(24/1024, 2)</f>
        <v>0.02</v>
      </c>
    </row>
    <row r="48" spans="4:10" ht="15" customHeight="1" x14ac:dyDescent="0.25">
      <c r="D48" s="40"/>
      <c r="E48" s="41"/>
      <c r="F48" s="42"/>
      <c r="G48" s="43"/>
      <c r="H48" s="18" t="s">
        <v>42</v>
      </c>
      <c r="I48" s="20">
        <v>17</v>
      </c>
      <c r="J48" s="20">
        <f>ROUND(32/1024, 2)</f>
        <v>0.03</v>
      </c>
    </row>
    <row r="49" spans="4:10" ht="15" customHeight="1" x14ac:dyDescent="0.25">
      <c r="D49" s="40"/>
      <c r="E49" s="41"/>
      <c r="F49" s="42"/>
      <c r="G49" s="43"/>
      <c r="H49" s="18" t="s">
        <v>45</v>
      </c>
      <c r="I49" s="20">
        <v>0</v>
      </c>
      <c r="J49" s="20">
        <f>ROUND(16/1024, 2)</f>
        <v>0.02</v>
      </c>
    </row>
    <row r="50" spans="4:10" ht="15" customHeight="1" x14ac:dyDescent="0.25">
      <c r="D50" s="40"/>
      <c r="E50" s="41"/>
      <c r="F50" s="42"/>
      <c r="G50" s="43"/>
      <c r="H50" s="18" t="s">
        <v>39</v>
      </c>
      <c r="I50" s="20">
        <v>3497</v>
      </c>
      <c r="J50" s="20">
        <f>ROUND(352/1024, 2)</f>
        <v>0.34</v>
      </c>
    </row>
    <row r="51" spans="4:10" ht="15" customHeight="1" x14ac:dyDescent="0.25">
      <c r="D51" s="40"/>
      <c r="E51" s="44" t="s">
        <v>34</v>
      </c>
      <c r="F51" s="39">
        <v>3479</v>
      </c>
      <c r="G51" s="45">
        <f>ROUND(77116048/1024/1024, 2)</f>
        <v>73.540000000000006</v>
      </c>
      <c r="H51" s="18" t="s">
        <v>34</v>
      </c>
      <c r="I51" s="20">
        <v>43576</v>
      </c>
      <c r="J51" s="20">
        <f>ROUND(4352/1024, 2)</f>
        <v>4.25</v>
      </c>
    </row>
    <row r="52" spans="4:10" ht="15" customHeight="1" x14ac:dyDescent="0.25">
      <c r="D52" s="40"/>
      <c r="E52" s="44"/>
      <c r="F52" s="39"/>
      <c r="G52" s="45"/>
      <c r="H52" s="18" t="s">
        <v>40</v>
      </c>
      <c r="I52" s="20">
        <v>4</v>
      </c>
      <c r="J52" s="20">
        <f>ROUND(32/1024, 2)</f>
        <v>0.03</v>
      </c>
    </row>
    <row r="53" spans="4:10" ht="15" customHeight="1" x14ac:dyDescent="0.25">
      <c r="D53" s="40"/>
      <c r="E53" s="44"/>
      <c r="F53" s="39"/>
      <c r="G53" s="45"/>
      <c r="H53" s="18" t="s">
        <v>33</v>
      </c>
      <c r="I53" s="20">
        <v>57384</v>
      </c>
      <c r="J53" s="20">
        <f>ROUND(7128/1024, 2)</f>
        <v>6.96</v>
      </c>
    </row>
    <row r="54" spans="4:10" ht="15" customHeight="1" x14ac:dyDescent="0.25">
      <c r="D54" s="40"/>
      <c r="E54" s="19" t="s">
        <v>43</v>
      </c>
      <c r="F54" s="20">
        <v>43576</v>
      </c>
      <c r="G54" s="23">
        <f>ROUND(4881536/1024/1024, 2)</f>
        <v>4.66</v>
      </c>
      <c r="H54" s="18" t="s">
        <v>30</v>
      </c>
      <c r="I54" s="20">
        <v>773451</v>
      </c>
      <c r="J54" s="20">
        <v>115</v>
      </c>
    </row>
    <row r="55" spans="4:10" ht="15" customHeight="1" x14ac:dyDescent="0.25">
      <c r="D55" s="40"/>
      <c r="E55" s="19" t="s">
        <v>44</v>
      </c>
      <c r="F55" s="20">
        <v>43576</v>
      </c>
      <c r="G55" s="23">
        <f>ROUND(21586176/1024/1024, 2)</f>
        <v>20.59</v>
      </c>
      <c r="H55" s="38" t="s">
        <v>29</v>
      </c>
      <c r="I55" s="39">
        <v>754243</v>
      </c>
      <c r="J55" s="39">
        <v>209</v>
      </c>
    </row>
    <row r="56" spans="4:10" ht="15" customHeight="1" x14ac:dyDescent="0.25">
      <c r="D56" s="40"/>
      <c r="E56" s="19" t="s">
        <v>29</v>
      </c>
      <c r="F56" s="20">
        <v>43576</v>
      </c>
      <c r="G56" s="23">
        <f>ROUND(64734848/1024/1024, 2)</f>
        <v>61.74</v>
      </c>
      <c r="H56" s="38"/>
      <c r="I56" s="39"/>
      <c r="J56" s="39"/>
    </row>
    <row r="57" spans="4:10" ht="15.75" customHeight="1" x14ac:dyDescent="0.25">
      <c r="D57" s="40"/>
      <c r="E57" s="18" t="s">
        <v>49</v>
      </c>
      <c r="F57" s="20"/>
      <c r="G57" s="23">
        <f>SUM(G46:G56)</f>
        <v>213.50000000000003</v>
      </c>
      <c r="H57" s="18" t="s">
        <v>49</v>
      </c>
      <c r="I57" s="20"/>
      <c r="J57" s="20">
        <f>SUM(J46:J56)</f>
        <v>362.65</v>
      </c>
    </row>
    <row r="58" spans="4:10" ht="15" customHeight="1" x14ac:dyDescent="0.25">
      <c r="D58" s="11"/>
      <c r="E58" s="11"/>
      <c r="F58" s="11"/>
      <c r="G58" s="11"/>
      <c r="H58" s="11"/>
      <c r="J58" s="27"/>
    </row>
    <row r="59" spans="4:10" ht="15" customHeight="1" x14ac:dyDescent="0.25"/>
    <row r="60" spans="4:10" ht="15" customHeight="1" x14ac:dyDescent="0.25"/>
    <row r="61" spans="4:10" ht="15" customHeight="1" x14ac:dyDescent="0.25"/>
    <row r="62" spans="4:10" ht="15" customHeight="1" x14ac:dyDescent="0.25"/>
    <row r="63" spans="4:10" ht="15" customHeight="1" x14ac:dyDescent="0.25"/>
    <row r="64" spans="4:10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39">
    <mergeCell ref="G27:G29"/>
    <mergeCell ref="E8:G8"/>
    <mergeCell ref="H8:J8"/>
    <mergeCell ref="D10:D21"/>
    <mergeCell ref="E10:E14"/>
    <mergeCell ref="F10:F14"/>
    <mergeCell ref="G10:G14"/>
    <mergeCell ref="E15:E17"/>
    <mergeCell ref="F15:F17"/>
    <mergeCell ref="G15:G17"/>
    <mergeCell ref="H19:H20"/>
    <mergeCell ref="I19:I20"/>
    <mergeCell ref="J19:J20"/>
    <mergeCell ref="H31:H32"/>
    <mergeCell ref="I31:I32"/>
    <mergeCell ref="J31:J32"/>
    <mergeCell ref="D34:D45"/>
    <mergeCell ref="E34:E38"/>
    <mergeCell ref="F34:F38"/>
    <mergeCell ref="G34:G38"/>
    <mergeCell ref="H43:H44"/>
    <mergeCell ref="I43:I44"/>
    <mergeCell ref="J43:J44"/>
    <mergeCell ref="D22:D33"/>
    <mergeCell ref="E22:E26"/>
    <mergeCell ref="F22:F26"/>
    <mergeCell ref="G22:G26"/>
    <mergeCell ref="E27:E29"/>
    <mergeCell ref="F27:F29"/>
    <mergeCell ref="H55:H56"/>
    <mergeCell ref="I55:I56"/>
    <mergeCell ref="J55:J56"/>
    <mergeCell ref="D46:D57"/>
    <mergeCell ref="E46:E50"/>
    <mergeCell ref="F46:F50"/>
    <mergeCell ref="G46:G50"/>
    <mergeCell ref="E51:E53"/>
    <mergeCell ref="F51:F53"/>
    <mergeCell ref="G51:G5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8"/>
  <sheetViews>
    <sheetView zoomScaleNormal="100" workbookViewId="0">
      <selection activeCell="C3" sqref="C3:F8"/>
    </sheetView>
  </sheetViews>
  <sheetFormatPr defaultRowHeight="15" x14ac:dyDescent="0.25"/>
  <cols>
    <col min="1" max="2" width="9.28515625"/>
    <col min="3" max="3" width="10" bestFit="1" customWidth="1"/>
    <col min="4" max="4" width="9.28515625"/>
    <col min="5" max="5" width="11" bestFit="1" customWidth="1"/>
    <col min="6" max="1025" width="9.28515625"/>
  </cols>
  <sheetData>
    <row r="3" spans="3:6" ht="14.85" customHeight="1" x14ac:dyDescent="0.25">
      <c r="C3" t="s">
        <v>56</v>
      </c>
      <c r="D3" t="s">
        <v>32</v>
      </c>
      <c r="E3" t="s">
        <v>3</v>
      </c>
      <c r="F3" t="s">
        <v>50</v>
      </c>
    </row>
    <row r="4" spans="3:6" ht="13.35" customHeight="1" x14ac:dyDescent="0.25">
      <c r="C4" t="s">
        <v>51</v>
      </c>
      <c r="D4">
        <v>0.22</v>
      </c>
      <c r="E4">
        <v>1.86</v>
      </c>
      <c r="F4" s="37">
        <f>(E4-D4)/E4</f>
        <v>0.88172043010752688</v>
      </c>
    </row>
    <row r="5" spans="3:6" ht="13.35" customHeight="1" x14ac:dyDescent="0.25">
      <c r="C5" t="s">
        <v>52</v>
      </c>
      <c r="D5">
        <v>0.18</v>
      </c>
      <c r="E5">
        <v>1.85</v>
      </c>
      <c r="F5" s="37">
        <f>(E5-D5)/E5</f>
        <v>0.9027027027027027</v>
      </c>
    </row>
    <row r="6" spans="3:6" ht="13.35" customHeight="1" x14ac:dyDescent="0.25">
      <c r="C6" t="s">
        <v>53</v>
      </c>
      <c r="D6">
        <v>0.35</v>
      </c>
      <c r="E6">
        <v>2.13</v>
      </c>
      <c r="F6" s="37">
        <f>(E6-D6)/E6</f>
        <v>0.83568075117370888</v>
      </c>
    </row>
    <row r="7" spans="3:6" ht="13.35" customHeight="1" x14ac:dyDescent="0.25">
      <c r="C7" t="s">
        <v>54</v>
      </c>
      <c r="D7">
        <v>0.74</v>
      </c>
      <c r="E7">
        <v>2.39</v>
      </c>
      <c r="F7" s="37">
        <f>(E7-D7)/E7</f>
        <v>0.69037656903765687</v>
      </c>
    </row>
    <row r="8" spans="3:6" ht="13.35" customHeight="1" x14ac:dyDescent="0.25">
      <c r="C8" t="s">
        <v>55</v>
      </c>
      <c r="D8">
        <v>1.45</v>
      </c>
      <c r="E8">
        <v>2.66</v>
      </c>
      <c r="F8" s="37">
        <f>(E8-D8)/E8</f>
        <v>0.45488721804511284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PopulateDB</vt:lpstr>
      <vt:lpstr>CleanText</vt:lpstr>
      <vt:lpstr>Index Construction</vt:lpstr>
      <vt:lpstr>Index Update</vt:lpstr>
      <vt:lpstr>Storage_Stats</vt:lpstr>
      <vt:lpstr>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Sheepman</cp:lastModifiedBy>
  <cp:revision>0</cp:revision>
  <dcterms:created xsi:type="dcterms:W3CDTF">2006-09-16T00:00:00Z</dcterms:created>
  <dcterms:modified xsi:type="dcterms:W3CDTF">2015-05-02T23:37:15Z</dcterms:modified>
</cp:coreProperties>
</file>