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7be17488d76155d5/Dokumente/GitHub/Multi-Objektive-Optimization/multi-objektive-optimization/Input/"/>
    </mc:Choice>
  </mc:AlternateContent>
  <xr:revisionPtr revIDLastSave="10" documentId="11_4D507A638EF0AB161111C8E2036D741EAF3E3FC8" xr6:coauthVersionLast="47" xr6:coauthVersionMax="47" xr10:uidLastSave="{2D414C2C-20AC-43A4-A131-799055ADEC3C}"/>
  <bookViews>
    <workbookView xWindow="-105" yWindow="0" windowWidth="14610" windowHeight="15585" tabRatio="815" xr2:uid="{00000000-000D-0000-FFFF-FFFF00000000}"/>
  </bookViews>
  <sheets>
    <sheet name="Own Design" sheetId="5" r:id="rId1"/>
    <sheet name="General Parameters" sheetId="4" r:id="rId2"/>
    <sheet name="Optimization Parameters" sheetId="3" r:id="rId3"/>
    <sheet name="Technical Parameters" sheetId="1" r:id="rId4"/>
    <sheet name="Economical Parameters" sheetId="2" r:id="rId5"/>
    <sheet name="Ecological Parameters" sheetId="6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48" i="1" l="1"/>
  <c r="B6" i="4"/>
  <c r="B5" i="4"/>
  <c r="B76" i="1" l="1"/>
  <c r="B83" i="1" s="1"/>
  <c r="B20" i="1"/>
  <c r="B43" i="1"/>
  <c r="B37" i="2"/>
  <c r="B92" i="1"/>
  <c r="B94" i="1"/>
  <c r="B91" i="1"/>
  <c r="B10" i="1"/>
  <c r="B23" i="2"/>
  <c r="B12" i="2"/>
  <c r="B10" i="4"/>
  <c r="B4" i="6" s="1"/>
  <c r="B11" i="4"/>
  <c r="B88" i="1" s="1"/>
  <c r="B4" i="4"/>
  <c r="B46" i="2"/>
  <c r="B45" i="2"/>
  <c r="B41" i="2"/>
  <c r="B57" i="1"/>
  <c r="B32" i="1"/>
  <c r="B33" i="1"/>
  <c r="B34" i="1"/>
  <c r="B48" i="2"/>
  <c r="B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Henrik Naß</author>
  </authors>
  <commentList>
    <comment ref="B91" authorId="0" shapeId="0" xr:uid="{00000000-0006-0000-0300-000001000000}">
      <text>
        <r>
          <rPr>
            <b/>
            <sz val="9"/>
            <color indexed="81"/>
            <rFont val="Segoe UI"/>
            <charset val="1"/>
          </rPr>
          <t>Henrik Naß:</t>
        </r>
        <r>
          <rPr>
            <sz val="9"/>
            <color indexed="81"/>
            <rFont val="Segoe UI"/>
            <charset val="1"/>
          </rPr>
          <t xml:space="preserve">
times 3 for 3 vehicles. One for each apartment</t>
        </r>
      </text>
    </comment>
  </commentList>
</comments>
</file>

<file path=xl/sharedStrings.xml><?xml version="1.0" encoding="utf-8"?>
<sst xmlns="http://schemas.openxmlformats.org/spreadsheetml/2006/main" count="483" uniqueCount="365">
  <si>
    <t>azimuth_roof</t>
  </si>
  <si>
    <t>slope_roof</t>
  </si>
  <si>
    <t>Residents</t>
  </si>
  <si>
    <t>eta_d</t>
  </si>
  <si>
    <t>eta_s</t>
  </si>
  <si>
    <t>Warm Water Consumption spez.</t>
  </si>
  <si>
    <t>area_roof</t>
  </si>
  <si>
    <t>building</t>
  </si>
  <si>
    <t>optimization_specs</t>
  </si>
  <si>
    <t>Generations</t>
  </si>
  <si>
    <t>Population Size</t>
  </si>
  <si>
    <t>Algorithm</t>
  </si>
  <si>
    <t>NSGA2</t>
  </si>
  <si>
    <t>Seed</t>
  </si>
  <si>
    <t>Model</t>
  </si>
  <si>
    <t>Meyer Burger Tile</t>
  </si>
  <si>
    <t>type</t>
  </si>
  <si>
    <t>monoSi</t>
  </si>
  <si>
    <t>solar_cell_area</t>
  </si>
  <si>
    <t>tiles_per_sqm</t>
  </si>
  <si>
    <t>eta_el_stc</t>
  </si>
  <si>
    <t>p_max</t>
  </si>
  <si>
    <t>UL</t>
  </si>
  <si>
    <t>Ik</t>
  </si>
  <si>
    <t>Umpp</t>
  </si>
  <si>
    <t>a1</t>
  </si>
  <si>
    <t>a2</t>
  </si>
  <si>
    <t>U'0</t>
  </si>
  <si>
    <t>U'1</t>
  </si>
  <si>
    <t>n cell</t>
  </si>
  <si>
    <t>Temperature_coeff._alpha</t>
  </si>
  <si>
    <t>Temperature_coeff._betha</t>
  </si>
  <si>
    <t>Temperature_coeff._gamma</t>
  </si>
  <si>
    <t>Irradiation Corr. Factor</t>
  </si>
  <si>
    <t>Temperature STC</t>
  </si>
  <si>
    <t>Irradiation STC</t>
  </si>
  <si>
    <t>Inverter Efficiency</t>
  </si>
  <si>
    <t>Comments</t>
  </si>
  <si>
    <t>Values</t>
  </si>
  <si>
    <t>Parameters</t>
  </si>
  <si>
    <t>Building Integrated PV (BIPVT)</t>
  </si>
  <si>
    <t>Max power solar rooftile (Wp)</t>
  </si>
  <si>
    <t>0.06 for cristaline Si</t>
  </si>
  <si>
    <t>name_dictionary:</t>
  </si>
  <si>
    <t>cp_w</t>
  </si>
  <si>
    <t>rho_w</t>
  </si>
  <si>
    <t>ho_h2</t>
  </si>
  <si>
    <t>hu_h2</t>
  </si>
  <si>
    <t>n</t>
  </si>
  <si>
    <t>year</t>
  </si>
  <si>
    <t>scaling_factor_electric_energy_demand</t>
  </si>
  <si>
    <t>specific heat capacity water (@ 310 K ~ 37 °C -&gt; Mean Storage temperature) - kJ/(kg*K)</t>
  </si>
  <si>
    <t>Density Water (@ 310 K ~ 37 °C) - ! in [kg/l] !</t>
  </si>
  <si>
    <t>Years of investigation.</t>
  </si>
  <si>
    <t>Time starting point/Year of investigation</t>
  </si>
  <si>
    <t>Estimated factor to scale electric energy demand to ~ 2700 kWh per 3 p. household</t>
  </si>
  <si>
    <t>specs_eco</t>
  </si>
  <si>
    <t>CAPEX PVT</t>
  </si>
  <si>
    <t>CAPEX HP</t>
  </si>
  <si>
    <t>CAPEX Fan</t>
  </si>
  <si>
    <t>CAPEX Battery</t>
  </si>
  <si>
    <t>CAPEX Water Storage</t>
  </si>
  <si>
    <t>CAPEX H2 Boiler</t>
  </si>
  <si>
    <t>CAPEX H2 CHP</t>
  </si>
  <si>
    <t>CAPEX EMC</t>
  </si>
  <si>
    <t>OPEX fix PVT</t>
  </si>
  <si>
    <t>OPEX fix Fan</t>
  </si>
  <si>
    <t>OPEX fix HP</t>
  </si>
  <si>
    <t>OPEX fix Battery</t>
  </si>
  <si>
    <t>OPEX fix Water Storage</t>
  </si>
  <si>
    <t>OPEX fix H2 Boiler</t>
  </si>
  <si>
    <t>OPEX fix H2 CHP</t>
  </si>
  <si>
    <t>OPEX fix EMC</t>
  </si>
  <si>
    <t>Lifetime PVT</t>
  </si>
  <si>
    <t>Lifetime HP</t>
  </si>
  <si>
    <t>Lifetime Fan</t>
  </si>
  <si>
    <t>Lifetime Battery</t>
  </si>
  <si>
    <t>Lifetime Water Storage</t>
  </si>
  <si>
    <t>Lifetime H2 Boiler</t>
  </si>
  <si>
    <t>Lifetime H2 CHP</t>
  </si>
  <si>
    <t>Lifetime EMC</t>
  </si>
  <si>
    <t>h2 price</t>
  </si>
  <si>
    <t>electricity price</t>
  </si>
  <si>
    <t>HP Tarif</t>
  </si>
  <si>
    <t>Feed in Tarif PV</t>
  </si>
  <si>
    <t>CHP surcharge</t>
  </si>
  <si>
    <t>CHP Feed-In Tarif</t>
  </si>
  <si>
    <t>h2 price dr</t>
  </si>
  <si>
    <t>electricity price dr</t>
  </si>
  <si>
    <t>HP Tarif Price dr</t>
  </si>
  <si>
    <t>credit dr</t>
  </si>
  <si>
    <t>inflation dr</t>
  </si>
  <si>
    <t>Period</t>
  </si>
  <si>
    <t>Year of Investigation</t>
  </si>
  <si>
    <t>Impp</t>
  </si>
  <si>
    <t>fan_heat_pump</t>
  </si>
  <si>
    <t>Fan BIPVT roof</t>
  </si>
  <si>
    <t>air volume flow max</t>
  </si>
  <si>
    <t>v_ratio</t>
  </si>
  <si>
    <t>electrical_storage</t>
  </si>
  <si>
    <t>Electric Energy Storage</t>
  </si>
  <si>
    <t>heat_pump</t>
  </si>
  <si>
    <t>Heat Pump (HP)</t>
  </si>
  <si>
    <t>ww_storage</t>
  </si>
  <si>
    <t>Warm Water Storage</t>
  </si>
  <si>
    <t>Efficiency</t>
  </si>
  <si>
    <t>Discharge Depth max</t>
  </si>
  <si>
    <t>Standing losses</t>
  </si>
  <si>
    <t>sink temperature</t>
  </si>
  <si>
    <t>t_hp_inlet</t>
  </si>
  <si>
    <t>t_hp_outlet</t>
  </si>
  <si>
    <t>h_storage</t>
  </si>
  <si>
    <t>h_sensor</t>
  </si>
  <si>
    <t>t_sensor</t>
  </si>
  <si>
    <t>t_tap_water</t>
  </si>
  <si>
    <t>t_ww</t>
  </si>
  <si>
    <t>t_cw</t>
  </si>
  <si>
    <t>t_upper</t>
  </si>
  <si>
    <t>t_lower</t>
  </si>
  <si>
    <t>t_heating_inlet</t>
  </si>
  <si>
    <t>t_heating_outlet</t>
  </si>
  <si>
    <t>t_a</t>
  </si>
  <si>
    <t>load_factor_f1</t>
  </si>
  <si>
    <t>solar_circle_he_ratio</t>
  </si>
  <si>
    <t>warm_water_circle_he_ratio</t>
  </si>
  <si>
    <t>u_heat_exchanger</t>
  </si>
  <si>
    <t>P Circulation Pump</t>
  </si>
  <si>
    <t>hybrid_solar_rooftiles</t>
  </si>
  <si>
    <t>chp_specs</t>
  </si>
  <si>
    <t>H2-Boiler (100% H2)</t>
  </si>
  <si>
    <t>Fuel Cell CHP (100% H2)</t>
  </si>
  <si>
    <t>p_el</t>
  </si>
  <si>
    <t>efficiency</t>
  </si>
  <si>
    <t>Hu Hydrogen</t>
  </si>
  <si>
    <t>eta_el</t>
  </si>
  <si>
    <t>eta_hrs</t>
  </si>
  <si>
    <t>zeta_heat_loss</t>
  </si>
  <si>
    <t>EER EMC</t>
  </si>
  <si>
    <t>EER of Emergency Cooling Unit</t>
  </si>
  <si>
    <t>Heizwert (hu = lower heating value of H2) [kWh/kg]</t>
  </si>
  <si>
    <t>CHP = False</t>
  </si>
  <si>
    <t>own_design</t>
  </si>
  <si>
    <t>CHP = True</t>
  </si>
  <si>
    <t>System Design with CHP</t>
  </si>
  <si>
    <t>System Design without CHP</t>
  </si>
  <si>
    <t>Installed Battery Storage Capacity [kW]</t>
  </si>
  <si>
    <t>Installed Warm Water Storage Capacity [L]</t>
  </si>
  <si>
    <t>Installed Heat Pump capacity [kW]</t>
  </si>
  <si>
    <t>Bivalency Point [°C]</t>
  </si>
  <si>
    <t>CHP Installed capacity electric [kW]</t>
  </si>
  <si>
    <t>Cost Reduction to 2023 [%]</t>
  </si>
  <si>
    <t>Values (a)</t>
  </si>
  <si>
    <t>Values (b)</t>
  </si>
  <si>
    <t>Reference Year</t>
  </si>
  <si>
    <t>spec. Investment - solar rooftile application (complete system, without planning and construction costs) [€/m2]</t>
  </si>
  <si>
    <t>spec. Investment - Cost function Heat Pump (a, b, Reference Year, Cost Reduction to 2023 in %) - for all CAPEX via Cost functions</t>
  </si>
  <si>
    <t>spec. Investment - Battery [€/kWh]</t>
  </si>
  <si>
    <t>spec. Investment - Warm Water Storage [€/L]</t>
  </si>
  <si>
    <t>spec. Investment - H2 Boiler [€/kW th]</t>
  </si>
  <si>
    <t>spec. Investment - CHP [€/kW th]</t>
  </si>
  <si>
    <t>spec. Investment - EMC [€/kW th]</t>
  </si>
  <si>
    <t>OPEX solar rooftiles. ALL OPEX: In [% of spec. Investment]</t>
  </si>
  <si>
    <t>OPEX fan</t>
  </si>
  <si>
    <t>OPEX HP [€/kW]</t>
  </si>
  <si>
    <t>OPEX Battery [€/kW]</t>
  </si>
  <si>
    <t>OPEX Warm Water Storage [€/L]</t>
  </si>
  <si>
    <t>OPEX H2 Boiler [€/kW]</t>
  </si>
  <si>
    <t>OPEX CHP [€/kW]</t>
  </si>
  <si>
    <t>Lifetime</t>
  </si>
  <si>
    <t>Hydrogen Price [€/kg]</t>
  </si>
  <si>
    <t>Electricity price [€/kWh]</t>
  </si>
  <si>
    <t>Heat Pump Tarif [€/kWh]</t>
  </si>
  <si>
    <t>Feed-in Tarif PV [€/kWh]</t>
  </si>
  <si>
    <t>KWK Surcharge as in KWKG 2023 [€/kWh]</t>
  </si>
  <si>
    <t>KWK Grid Feed-In Tarif as in KWKG 2020 [€/kWh]</t>
  </si>
  <si>
    <t>Hydrogen rate of price change [-/a]</t>
  </si>
  <si>
    <t>Electricity rate of price change [-/a]</t>
  </si>
  <si>
    <t>Heat Pump Tarif Rate of Price change [-/a]</t>
  </si>
  <si>
    <t>Discount Rate of Initial Investment costs [-]</t>
  </si>
  <si>
    <t>Discount Rate of Inflation [-]</t>
  </si>
  <si>
    <t>Simulated Period</t>
  </si>
  <si>
    <t>Initiate Year of simulation</t>
  </si>
  <si>
    <t>Upper Heating value NG as in Cerbe [kwh/kg] H Gas</t>
  </si>
  <si>
    <t>Lower Heating value NG as in Cerbe [kwh/kg] H Gas</t>
  </si>
  <si>
    <t>CAPEX NG Boiler</t>
  </si>
  <si>
    <t>spec Investment - NG Boiler [€/kW th]</t>
  </si>
  <si>
    <t>OPEX fix NG Boiler</t>
  </si>
  <si>
    <t>OPEX NG Boiler [€/kW]</t>
  </si>
  <si>
    <t>Lifetime NG Boiler</t>
  </si>
  <si>
    <t>hu_ng</t>
  </si>
  <si>
    <t>ho_ng</t>
  </si>
  <si>
    <t>NG-Boiler (100% NG)</t>
  </si>
  <si>
    <t>boiler_specs_h2</t>
  </si>
  <si>
    <t>boiler_specs_ng</t>
  </si>
  <si>
    <t>Fuel</t>
  </si>
  <si>
    <t>[0;1] for natural Gas and ]1:2] for hydrogen fuel</t>
  </si>
  <si>
    <t>ng price dr</t>
  </si>
  <si>
    <t>Natural gas rate of price change [-/a]</t>
  </si>
  <si>
    <t>ng price</t>
  </si>
  <si>
    <t>specs_ecological</t>
  </si>
  <si>
    <t>ng_emission_factor</t>
  </si>
  <si>
    <t>Emmission factor in kgCO2/kgNG from Table 23 'Natural gas, Germany' Umweltbundesamt: 'CO2 Emission Factors for Fossil Fuels' 2022</t>
  </si>
  <si>
    <t>Parallel jobs</t>
  </si>
  <si>
    <t>(-1) for maximum amount of parallelized cores working</t>
  </si>
  <si>
    <t>NG Price [€/kg]</t>
  </si>
  <si>
    <t>EV_EMS</t>
  </si>
  <si>
    <t>[0;1] for w/o EMS and ]1:2] for w/ EMS</t>
  </si>
  <si>
    <t>ev_specs</t>
  </si>
  <si>
    <t xml:space="preserve">Electrical Vehicle Battery </t>
  </si>
  <si>
    <t>Battery Capacity</t>
  </si>
  <si>
    <t>Battery Charging Power</t>
  </si>
  <si>
    <t>Energy Consumption</t>
  </si>
  <si>
    <t>daily traveled distance</t>
  </si>
  <si>
    <t>Daily Commuting period</t>
  </si>
  <si>
    <t>time spent daily outside house [h]</t>
  </si>
  <si>
    <t>Safety Factor</t>
  </si>
  <si>
    <t>safety factor</t>
  </si>
  <si>
    <t>Lifetime EMS</t>
  </si>
  <si>
    <t>Lifetime of Electrical Vehicle (EV) Energy Management System (EMS)</t>
  </si>
  <si>
    <t>CAPEX EMS</t>
  </si>
  <si>
    <t>area_house_base</t>
  </si>
  <si>
    <t>area_effective_living</t>
  </si>
  <si>
    <t>area_walls_exterior</t>
  </si>
  <si>
    <t>amount_windows</t>
  </si>
  <si>
    <t>specs_renovation</t>
  </si>
  <si>
    <t>windows renov_invest</t>
  </si>
  <si>
    <t>spec. Investment - windows renovation [€/m²] including demontage and disposal of old windows</t>
  </si>
  <si>
    <t>roof renov_invest</t>
  </si>
  <si>
    <t>spec. Investment - roof insulation [€/m²]</t>
  </si>
  <si>
    <t>walls renov_invest</t>
  </si>
  <si>
    <t>spec. Investment - exterior wall insulation [€/m²]</t>
  </si>
  <si>
    <t>spec. Investment - cellar roof insulation [€/m²]</t>
  </si>
  <si>
    <t>Renovation</t>
  </si>
  <si>
    <t>arrival time</t>
  </si>
  <si>
    <t>departure time</t>
  </si>
  <si>
    <t>number of vacations</t>
  </si>
  <si>
    <t>time returning home from work [24h format] (give whole numbers and disregard minutes)</t>
  </si>
  <si>
    <t>time leaving home for work  [24h format] (give whole numbers and disregard minutes)</t>
  </si>
  <si>
    <t>time returning home from vacation  [24h format] (give whole numbers and disregard minutes)</t>
  </si>
  <si>
    <t>time leaving home for vacation  [24h format] (give whole numbers and disregard minutes)</t>
  </si>
  <si>
    <t xml:space="preserve">number of vacations per year  </t>
  </si>
  <si>
    <t>vacation departure time</t>
  </si>
  <si>
    <t>vacation arrival time</t>
  </si>
  <si>
    <t xml:space="preserve">spec. Investment - miscellaneous [€/m²] </t>
  </si>
  <si>
    <t>PV power Capacity east [kW]</t>
  </si>
  <si>
    <t>PV power Capacity west [kW]</t>
  </si>
  <si>
    <t>ventilation renov_invest</t>
  </si>
  <si>
    <t>baupreis_index</t>
  </si>
  <si>
    <t>Faktor; da Kostendaten von 2015 (100) Umrechnung mittels Baupreisindex auf Jahr 2023 (160)</t>
  </si>
  <si>
    <t>planning_cost</t>
  </si>
  <si>
    <t>scaffolding_cost</t>
  </si>
  <si>
    <t>spec. Investment - uppermost ceiling insulation [€/m²] (oberste Geschossdecke)</t>
  </si>
  <si>
    <t>ceiling renov_invest</t>
  </si>
  <si>
    <t>cellar renov_invest</t>
  </si>
  <si>
    <t>0: Keine Sanierung
1: Dach Sanierung
2: Dach + Fenster
3: Dach + Fenster + Wände
4: Dach + Fenster + Wände + Keller
5: Vollsanierung (+ Lüftungssystem)</t>
  </si>
  <si>
    <t>OPEX fix EMS</t>
  </si>
  <si>
    <t>spec. Investment - EMS (Ladesaule)[€]</t>
  </si>
  <si>
    <t>OPEX for operating EMS [% of CAPEX]</t>
  </si>
  <si>
    <t>[°]</t>
  </si>
  <si>
    <t>Own Assumption</t>
  </si>
  <si>
    <t>Following parameters are from "Meyer Burger Tile. Der erste Solardachziegel mit 15Wp" (2023); Meyer Burger Technology AG</t>
  </si>
  <si>
    <t>Own Assumption based on nominal storage capacity</t>
  </si>
  <si>
    <t>“Cost-reduction roadmap for the European BIPV sector,” BIPVBOOST, Oct. 2020. Accessed: Feb. 17, 2023. [Online]. Available: https://bipvboost.eu/public-reports/</t>
  </si>
  <si>
    <t>F. Braeuer et al., “Techno-ökonomische und ökologische Analyse von Sanierungspaketen aus Gebäudehülle und LowEx-Systemen: Projekt LowEx-Bestand Analyse. Bericht zu AP 5,” Fraunhofer ISE, Albert-Ludwigs-Universität Freiburg, INATECH, and KIT, Feb. 2022. Accessed: Apr. 29, 2023. [Online]. Available: https://www.lowex-bestand.de/index.php/ergebnisse/?lang=de</t>
  </si>
  <si>
    <t>Ziel-Abegg. “FE2owlet.” https://www.ziehl-abegg.com/produkte/fe2owlet#modellauswahl (accessed Apr. 5, 2023).</t>
  </si>
  <si>
    <t>L. Langenberg, K. Knosala, N. Pflugradt, L. Kotzur, D. Stolten, and P. Sten-zel, The Role of Hydrogen in German Residential Buildings, 2021. Ac-cessed: Mar. 22, 2023. [Online]. Available: https://www.researchgate.net/publication/354276229_The_Role_of_Hydrogen_in_German_Residential_Buildings</t>
  </si>
  <si>
    <t>H.-M. Henning et al., Kühlen und Klimatisieren mit Wärme, 1st ed. (BINE-Fachbuch). Stuttgart: Fraunhofer IRB Verlag, 2015. Accessed: Apr. 19, 2023.</t>
  </si>
  <si>
    <t>Assumption based on personal Experience</t>
  </si>
  <si>
    <t>J. Thomsen et al., “Bottom-Up Studie zu Pfadoptionen einer effizienten und sozialverträglichen Dekarbonisierung des Wärmesektors. Studie im Auftrag des Nationalen Wasserstoffrats.,” Freiburg, Kassel: Fraunhofer ISE, Fraun-hofer IEE (Hrsg.), Dec. 2022. Accessed: Jan. 12, 2023. [Online]. Available: https://www.wasserstoffrat.de/fileadmin/wasserstoffrat/media/Dokumente/2022/221222_Bottom_Up_Studie_final-1.pdf</t>
  </si>
  <si>
    <t>Assumptions Marius</t>
  </si>
  <si>
    <t>A. Kemmler et al., “Energiewirtschaftliche Projektionen und Folge-abschätzungen 2030/2050: Studie im Auftrag des Bundesministeriums für Wirtschaft und Energie,” Prognos AG, Feb. 2021. Accessed: Apr. 29, 2023. [Online]. Available: https://www.bmwk.de/Redaktion/DE/Publikationen/In-dustrie/energiewirtschaftliche-projektionen-und-folgeabschaetzungen-2030-2050.html</t>
  </si>
  <si>
    <t>Assumption based on Market prices</t>
  </si>
  <si>
    <t>Bundesnetzagentur (BNetzA). “Aus-schrei-bung So-lar-an-la-gen zwei-tes Seg-ment: Ge-bots-ter-min 1. De-zem-ber 2022.” https://www.bun-desnetzagentur.de/DE/Fachthemen/ElektrizitaetundGas/Ausschreibungen/Solaranlagen2/BeendeteAusschreibungen/Ausschreibungen%202022/Ge-botstermin01122022/start.html;jses-
D. Bauknecht et al., “Untersuchung von Instrumenten und Maßnahmen zur Erschließung des aus klimaschutzsicht zusätzlich erforderlichen Erneu-erbaren-Energien-Ausbaus: Klimagerechter EE-Ausbau,” Rep. 63/2021. Accessed: Apr. 30, 2023. [Online]. Available: https://www.umweltbun-desamt.de/publikationen/untersuchung-von-instrumenten-massnahmen-zur
Harry Wirth, “Aktuelle Fakten zur Photovoltaik in Deutschland,” Fraun-hofer ISE, Freiburg, Mar. 2023. Accessed: Apr. 30, 2023. [Online]. Availa-ble: https://www.ise.fraunhofer.de/de/veroeffentlichungen/studien/aktuelle-fakten-zur-photovoltaik-in-deutschland.html</t>
  </si>
  <si>
    <t>§7(3a) KWKG</t>
  </si>
  <si>
    <t>KfW. “Erneuerbare Energien – Standard: Der Förderkredit für Strom und Wärme.” https://www.kfw.de/inlandsfoerderung/Privatpersonen/Bestandsimmobilie/F%C3%B6rderprodukte/Eneuerbare-Energien-Stand-ard-(270)/ (accessed Apr. 26, 2023).</t>
  </si>
  <si>
    <t>Statistisches Bundesamt (Destatis). “Gemeinsames neues statistis-tisches Informationssystem - Die Datenbank des Statistischen Bun-desamtes: Verbraucherpreisindex Jahre.” https://www-genesis.destatis.de/genesis/online?operation=result&amp;code=61111-0001&amp;deep=true#abread-crumb (accessed Apr. 30, 2023).</t>
  </si>
  <si>
    <t>Sources</t>
  </si>
  <si>
    <t>Yiling Liu; Haiyang Lin; Wang Yu; Liu Luyao; Qie Sun;…. "Influence of the Electric Vehicle battery size and EV.."</t>
  </si>
  <si>
    <t>Jost, Ramona "Persistence of commuting habits: context effects in Germany"</t>
  </si>
  <si>
    <t>Assumption</t>
  </si>
  <si>
    <r>
      <t xml:space="preserve">EV Battery Capacity in [kWh] _ </t>
    </r>
    <r>
      <rPr>
        <i/>
        <sz val="11"/>
        <color theme="1"/>
        <rFont val="Aptos Narrow"/>
        <family val="2"/>
        <scheme val="minor"/>
      </rPr>
      <t>Capacity of Tesla Model S Batteries</t>
    </r>
  </si>
  <si>
    <r>
      <t xml:space="preserve">EV Battery Charging power [kW] _ </t>
    </r>
    <r>
      <rPr>
        <i/>
        <sz val="11"/>
        <color theme="1"/>
        <rFont val="Aptos Narrow"/>
        <family val="2"/>
        <scheme val="minor"/>
      </rPr>
      <t>Rapid Charging</t>
    </r>
  </si>
  <si>
    <t>consumption of the EV per traveled distance [kWh/km] _ Tesla Model S Energy consumption</t>
  </si>
  <si>
    <t>daily covered distance [km] _ 20 minutes average daily commuting time  with 100 km/h average speed</t>
  </si>
  <si>
    <t>Kostenpauschale pro Sanierung [€]</t>
  </si>
  <si>
    <t>Energetische und akustische Sanierung von Wohngebäuden… (2012); Pietruschka et al.</t>
  </si>
  <si>
    <t>"Baurpeisindex - Basisjahr 2015"; BKI</t>
  </si>
  <si>
    <t>Related to Hu</t>
  </si>
  <si>
    <t xml:space="preserve">electricity demand [kW] </t>
  </si>
  <si>
    <t>Heat loss factor [-]</t>
  </si>
  <si>
    <t>Efficiency of heat recovery system [-]</t>
  </si>
  <si>
    <t>electricity demand [kW]</t>
  </si>
  <si>
    <t>Electrical System Efficiency at nominal power [-] - related to H2 Hu</t>
  </si>
  <si>
    <t>"Brennstoffzellen für die Hausenergieversorgung" (2019); ASUE-Arbeitskreis Blockheizkraftwerke/Brennstoffzelle</t>
  </si>
  <si>
    <t>Power consumption of the Circulation Pump(s) [kW]</t>
  </si>
  <si>
    <t>in accordance to "Handbuch der Gebäudetechnik…" (2016); Pistohl et al.</t>
  </si>
  <si>
    <t xml:space="preserve">heat transfer coefficient of heat exchangers [W/m²*K] </t>
  </si>
  <si>
    <t>in accordance to "Beitrag zur energieeffizienten Trinkwassererwärmung" (2017); Zeisberger</t>
  </si>
  <si>
    <t>heat exchanger to storage volume ratio - warm water circle [m²/L]</t>
  </si>
  <si>
    <t xml:space="preserve"> in accordance to "Handbuch der Gebäudetechnik…" (2016); Pistohl et al.</t>
  </si>
  <si>
    <t>heat exchanger to storage volume ratio - Solar circle [m²/L]</t>
  </si>
  <si>
    <t>Load factor for mixed Storage Systems</t>
  </si>
  <si>
    <t>DIN EN 12813 (2017)</t>
  </si>
  <si>
    <t>Ambient temperature around warm water storage</t>
  </si>
  <si>
    <t>Outlet Temperature of heating system components [°C]</t>
  </si>
  <si>
    <t>Modellbildung und Regelung von Gebäudeheizungsanlagen mit Wärmepumpen (1991); Schwamberger</t>
  </si>
  <si>
    <t>Inlet Temperature of heating system components [°C]</t>
  </si>
  <si>
    <t>Lowest Temperature in Warm Water Storage (bottom) [°C]</t>
  </si>
  <si>
    <t>Highest Temperature in Warm Water Storage (Top) [°C]</t>
  </si>
  <si>
    <t>Beitrag zur energieeffizienten Trinkwassererwärmung (2017); Zeisberger</t>
  </si>
  <si>
    <t xml:space="preserve">Temperature of new water supply for storage (cold water) [°C] </t>
  </si>
  <si>
    <t>Tap Water Temperature [°C] - mixed of t_ww and cold water</t>
  </si>
  <si>
    <t>Necessary warm water temperature at the warm water outlet (60 °C - hygene reasons)</t>
  </si>
  <si>
    <t>"Beitrag zur energieeffizienten Trinkwassererwärmung" (2017); Zeisberger</t>
  </si>
  <si>
    <t>Set Temperature at the temperature sensor of the storage (h_storage/2) [°C]</t>
  </si>
  <si>
    <t>Regenerative Energien im Gebäude nutzen (2016); Bollin et al.</t>
  </si>
  <si>
    <t>Height of temperature sensor [m], half the height of the storage</t>
  </si>
  <si>
    <t>in accordance to "Regenerative Energien im Gebäude nutzen" (2016); Bollin et al.</t>
  </si>
  <si>
    <t>Height of the storage [m]</t>
  </si>
  <si>
    <t>Heat Pump outlet temperature.Assumed a temperature spread of 5K [°C]</t>
  </si>
  <si>
    <t>"Handbuch der Gebäudetechnik…" (2016); Pistohl et al.</t>
  </si>
  <si>
    <t xml:space="preserve">Heat Pump inlet temperature, with 5 K spread to maximum storage temperature [°C] </t>
  </si>
  <si>
    <t xml:space="preserve">sink temperature - in this case maximum storage temperature [°C] </t>
  </si>
  <si>
    <t xml:space="preserve">Efficiency of Electrical Storage - charging and decharging efficiency assumed as equal. </t>
  </si>
  <si>
    <t>Development and Validation of a model…  (2022); Bartkowski et al.</t>
  </si>
  <si>
    <t xml:space="preserve">[W] </t>
  </si>
  <si>
    <t xml:space="preserve">[m³/h] </t>
  </si>
  <si>
    <t>european inverter efficiency for a classic inverter SMA Central 3000</t>
  </si>
  <si>
    <t>STC</t>
  </si>
  <si>
    <t>Own Assumption based on houses geometry</t>
  </si>
  <si>
    <t xml:space="preserve">[°] </t>
  </si>
  <si>
    <t>Own Assumption for a sattleback roof</t>
  </si>
  <si>
    <t>[m²] south facing roofside</t>
  </si>
  <si>
    <t xml:space="preserve">[m²] </t>
  </si>
  <si>
    <t>Own Assumption in accordance with "Strategien und Technologien einer pluralistischen Fern- und Nahwärmeversorgung …" (2001); Neuffer et al.</t>
  </si>
  <si>
    <t>[m²]</t>
  </si>
  <si>
    <t>Load Profile Generator; Pflugradt et al.</t>
  </si>
  <si>
    <t>Handbuch der Gebäudetechnik… (2016); Pistohl et al.</t>
  </si>
  <si>
    <t>Efficiency for a central heating system distribution network</t>
  </si>
  <si>
    <t>Efficiency for Space heating Supply</t>
  </si>
  <si>
    <t>Specific warm water demand in L/person</t>
  </si>
  <si>
    <t xml:space="preserve">[m²] Based on the Living Area of 195m² </t>
  </si>
  <si>
    <t>in accordance to § 82, 2 GEG</t>
  </si>
  <si>
    <t>in accordance to § 46 BauO NRW 2018 and §34 LBO - Aufenthaltsräume, Baden Würtemberg</t>
  </si>
  <si>
    <t>See general parameters</t>
  </si>
  <si>
    <r>
      <t>Assumption 0,10 €/kWh</t>
    </r>
    <r>
      <rPr>
        <vertAlign val="subscript"/>
        <sz val="11"/>
        <color theme="1"/>
        <rFont val="Aptos Narrow"/>
        <family val="2"/>
        <scheme val="minor"/>
      </rPr>
      <t>LHV</t>
    </r>
  </si>
  <si>
    <r>
      <t>[m³/(h*m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)] air volume flow per area of sdp. - (25 m³/h)/((192/12) * 0.1 m²/sdp)</t>
    </r>
  </si>
  <si>
    <t>derived from "An integrated review of factors influencing the perfomance of photovoltaic panels" (2017); Fouad et al.</t>
  </si>
  <si>
    <t>not used</t>
  </si>
  <si>
    <t>V</t>
  </si>
  <si>
    <t>A</t>
  </si>
  <si>
    <r>
      <t>W/(m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K)</t>
    </r>
  </si>
  <si>
    <r>
      <t>J/(m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K)</t>
    </r>
  </si>
  <si>
    <t>1/K</t>
  </si>
  <si>
    <r>
      <t>m</t>
    </r>
    <r>
      <rPr>
        <vertAlign val="superscript"/>
        <sz val="11"/>
        <color theme="1"/>
        <rFont val="Aptos Narrow"/>
        <family val="2"/>
        <scheme val="minor"/>
      </rPr>
      <t>2</t>
    </r>
  </si>
  <si>
    <t>Ho</t>
  </si>
  <si>
    <t>higher heating value of H2 [kWh/kg]</t>
  </si>
  <si>
    <t>"Experimental investigation on performance of a condensing boiler and economic evaluation in real operating conditions", 2018, Balanescu and Homutescu</t>
  </si>
  <si>
    <t>hower heating value of NG) [kWh/kg]</t>
  </si>
  <si>
    <t xml:space="preserve">Lower Heating value Hydrogen as in Cerbe [kwh/kg] </t>
  </si>
  <si>
    <t xml:space="preserve">Upper Heating value Hydrogen as in Cerbe [kwh/kg] </t>
  </si>
  <si>
    <t>Standing losses of Electrical Storage in 1/h</t>
  </si>
  <si>
    <t>based on "Fast method for calibrated self-discharge measurement of lithium-ion batteries including temperature effects and comparison to modelling" (2023), R-Smith et al.</t>
  </si>
  <si>
    <t>Based on "Grid connected performance of a household lithium-ion battery energy storage system" (2016) Bila et al.</t>
  </si>
  <si>
    <t>spec. Investment - Air Fan [€/kW]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</si>
</sst>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164" formatCode="0.0000"/>
    <numFmt numFmtId="165" formatCode="0.000"/>
    <numFmt numFmtId="166" formatCode="0.00000"/>
    <numFmt numFmtId="167" formatCode="#,##0.0"/>
    <numFmt numFmtId="168" formatCode="@\ *."/>
    <numFmt numFmtId="169" formatCode="\ \ \ \ \ \ \ \ \ \ @\ *."/>
    <numFmt numFmtId="170" formatCode="\ \ \ \ \ \ \ \ \ \ \ \ @\ *."/>
    <numFmt numFmtId="171" formatCode="\ \ \ \ \ \ \ \ \ \ \ \ @"/>
    <numFmt numFmtId="172" formatCode="\ \ \ \ \ \ \ \ \ \ \ \ \ @\ *."/>
    <numFmt numFmtId="173" formatCode="\ @\ *."/>
    <numFmt numFmtId="174" formatCode="\ @"/>
    <numFmt numFmtId="175" formatCode="\ \ @\ *."/>
    <numFmt numFmtId="176" formatCode="\ \ @"/>
    <numFmt numFmtId="177" formatCode="\ \ \ @\ *."/>
    <numFmt numFmtId="178" formatCode="\ \ \ @"/>
    <numFmt numFmtId="179" formatCode="\ \ \ \ @\ *."/>
    <numFmt numFmtId="180" formatCode="\ \ \ \ @"/>
    <numFmt numFmtId="181" formatCode="\ \ \ \ \ \ @\ *."/>
    <numFmt numFmtId="182" formatCode="\ \ \ \ \ \ @"/>
    <numFmt numFmtId="183" formatCode="\ \ \ \ \ \ \ @\ *."/>
    <numFmt numFmtId="184" formatCode="\ \ \ \ \ \ \ \ \ @\ *."/>
    <numFmt numFmtId="185" formatCode="\ \ \ \ \ \ \ \ \ @"/>
    <numFmt numFmtId="186" formatCode="#,##0.00\ &quot;Gg&quot;"/>
    <numFmt numFmtId="187" formatCode="#,##0.00\ &quot;kg&quot;"/>
    <numFmt numFmtId="188" formatCode="#,##0.00\ &quot;kt&quot;"/>
    <numFmt numFmtId="189" formatCode="#,##0.00\ &quot;Stck&quot;"/>
    <numFmt numFmtId="190" formatCode="#,##0.00\ &quot;Stk&quot;"/>
    <numFmt numFmtId="191" formatCode="#,##0.00\ &quot;T.Stk&quot;"/>
    <numFmt numFmtId="192" formatCode="#,##0.00\ &quot;TJ&quot;"/>
    <numFmt numFmtId="193" formatCode="#,##0.00\ &quot;TStk&quot;"/>
    <numFmt numFmtId="194" formatCode="yyyy"/>
    <numFmt numFmtId="195" formatCode="_-* #,##0.00\ [$€]_-;\-* #,##0.00\ [$€]_-;_-* &quot;-&quot;??\ [$€]_-;_-@_-"/>
    <numFmt numFmtId="196" formatCode="#,##0.0000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7"/>
      <name val="Letter Gothic CE"/>
      <family val="3"/>
      <charset val="238"/>
    </font>
    <font>
      <sz val="7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vertAlign val="subscript"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9">
    <xf numFmtId="0" fontId="0" fillId="0" borderId="0"/>
    <xf numFmtId="9" fontId="1" fillId="0" borderId="0" applyFont="0" applyFill="0" applyBorder="0" applyAlignment="0" applyProtection="0"/>
    <xf numFmtId="0" fontId="5" fillId="0" borderId="0"/>
    <xf numFmtId="168" fontId="6" fillId="0" borderId="0"/>
    <xf numFmtId="49" fontId="6" fillId="0" borderId="0"/>
    <xf numFmtId="169" fontId="6" fillId="0" borderId="0">
      <alignment horizontal="center"/>
    </xf>
    <xf numFmtId="170" fontId="6" fillId="0" borderId="0"/>
    <xf numFmtId="171" fontId="6" fillId="0" borderId="0"/>
    <xf numFmtId="172" fontId="6" fillId="0" borderId="0"/>
    <xf numFmtId="173" fontId="6" fillId="0" borderId="0"/>
    <xf numFmtId="174" fontId="7" fillId="0" borderId="0"/>
    <xf numFmtId="175" fontId="8" fillId="0" borderId="0"/>
    <xf numFmtId="176" fontId="7" fillId="0" borderId="0"/>
    <xf numFmtId="49" fontId="9" fillId="0" borderId="16" applyNumberFormat="0" applyFont="0" applyFill="0" applyBorder="0" applyProtection="0">
      <alignment horizontal="left" vertical="center" indent="2"/>
    </xf>
    <xf numFmtId="177" fontId="6" fillId="0" borderId="0"/>
    <xf numFmtId="178" fontId="6" fillId="0" borderId="0"/>
    <xf numFmtId="179" fontId="6" fillId="0" borderId="0"/>
    <xf numFmtId="180" fontId="7" fillId="0" borderId="0"/>
    <xf numFmtId="49" fontId="9" fillId="0" borderId="17" applyNumberFormat="0" applyFont="0" applyFill="0" applyBorder="0" applyProtection="0">
      <alignment horizontal="left" vertical="center" indent="5"/>
    </xf>
    <xf numFmtId="181" fontId="6" fillId="0" borderId="0">
      <alignment horizontal="center"/>
    </xf>
    <xf numFmtId="182" fontId="6" fillId="0" borderId="0">
      <alignment horizontal="center"/>
    </xf>
    <xf numFmtId="183" fontId="6" fillId="0" borderId="0">
      <alignment horizontal="center"/>
    </xf>
    <xf numFmtId="184" fontId="6" fillId="0" borderId="0">
      <alignment horizontal="center"/>
    </xf>
    <xf numFmtId="185" fontId="6" fillId="0" borderId="0">
      <alignment horizontal="center"/>
    </xf>
    <xf numFmtId="0" fontId="5" fillId="0" borderId="0" applyFont="0" applyFill="0" applyBorder="0" applyAlignment="0" applyProtection="0"/>
    <xf numFmtId="186" fontId="5" fillId="0" borderId="18" applyFont="0" applyFill="0" applyBorder="0" applyAlignment="0" applyProtection="0">
      <alignment horizontal="left"/>
    </xf>
    <xf numFmtId="187" fontId="5" fillId="0" borderId="18" applyFont="0" applyFill="0" applyBorder="0" applyAlignment="0" applyProtection="0">
      <alignment horizontal="left"/>
    </xf>
    <xf numFmtId="188" fontId="5" fillId="0" borderId="18" applyFont="0" applyFill="0" applyBorder="0" applyAlignment="0" applyProtection="0">
      <alignment horizontal="left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>
      <alignment horizontal="left"/>
    </xf>
    <xf numFmtId="189" fontId="5" fillId="0" borderId="18" applyFont="0" applyFill="0" applyBorder="0" applyAlignment="0" applyProtection="0">
      <alignment horizontal="left"/>
    </xf>
    <xf numFmtId="190" fontId="5" fillId="0" borderId="18" applyFont="0" applyFill="0" applyBorder="0" applyAlignment="0" applyProtection="0">
      <alignment horizontal="left"/>
    </xf>
    <xf numFmtId="191" fontId="5" fillId="0" borderId="18" applyFont="0" applyFill="0" applyBorder="0" applyAlignment="0" applyProtection="0">
      <alignment horizontal="left"/>
    </xf>
    <xf numFmtId="192" fontId="5" fillId="0" borderId="18" applyFont="0" applyFill="0" applyBorder="0" applyAlignment="0" applyProtection="0">
      <alignment horizontal="left"/>
    </xf>
    <xf numFmtId="193" fontId="5" fillId="0" borderId="18" applyFont="0" applyFill="0" applyBorder="0" applyAlignment="0" applyProtection="0">
      <alignment horizontal="left"/>
    </xf>
    <xf numFmtId="194" fontId="5" fillId="0" borderId="18" applyFont="0" applyFill="0" applyBorder="0" applyAlignment="0" applyProtection="0">
      <alignment horizontal="left"/>
    </xf>
    <xf numFmtId="4" fontId="10" fillId="0" borderId="19" applyFill="0" applyBorder="0" applyProtection="0">
      <alignment horizontal="right" vertical="center"/>
    </xf>
    <xf numFmtId="195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68" fontId="7" fillId="0" borderId="0"/>
    <xf numFmtId="4" fontId="9" fillId="0" borderId="16" applyFill="0" applyBorder="0" applyProtection="0">
      <alignment horizontal="right" vertical="center"/>
    </xf>
    <xf numFmtId="49" fontId="10" fillId="0" borderId="16" applyNumberFormat="0" applyFill="0" applyBorder="0" applyProtection="0">
      <alignment horizontal="left" vertical="center"/>
    </xf>
    <xf numFmtId="0" fontId="9" fillId="0" borderId="16" applyNumberFormat="0" applyFill="0" applyAlignment="0" applyProtection="0"/>
    <xf numFmtId="0" fontId="12" fillId="5" borderId="0" applyNumberFormat="0" applyFont="0" applyBorder="0" applyAlignment="0" applyProtection="0"/>
    <xf numFmtId="49" fontId="7" fillId="0" borderId="0"/>
    <xf numFmtId="196" fontId="9" fillId="6" borderId="16" applyNumberFormat="0" applyFont="0" applyBorder="0" applyAlignment="0" applyProtection="0">
      <alignment horizontal="right" vertical="center"/>
    </xf>
    <xf numFmtId="0" fontId="9" fillId="0" borderId="0"/>
    <xf numFmtId="0" fontId="5" fillId="0" borderId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5" xfId="0" applyFont="1" applyFill="1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8" xfId="0" applyBorder="1"/>
    <xf numFmtId="164" fontId="0" fillId="0" borderId="8" xfId="0" applyNumberFormat="1" applyBorder="1"/>
    <xf numFmtId="0" fontId="0" fillId="2" borderId="10" xfId="0" applyFill="1" applyBorder="1"/>
    <xf numFmtId="2" fontId="0" fillId="2" borderId="10" xfId="0" applyNumberForma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0" fillId="2" borderId="14" xfId="0" applyFill="1" applyBorder="1"/>
    <xf numFmtId="0" fontId="0" fillId="2" borderId="13" xfId="0" applyFill="1" applyBorder="1"/>
    <xf numFmtId="49" fontId="0" fillId="0" borderId="8" xfId="0" applyNumberFormat="1" applyBorder="1"/>
    <xf numFmtId="165" fontId="0" fillId="0" borderId="9" xfId="0" applyNumberFormat="1" applyBorder="1"/>
    <xf numFmtId="166" fontId="0" fillId="0" borderId="8" xfId="1" applyNumberFormat="1" applyFont="1" applyBorder="1"/>
    <xf numFmtId="166" fontId="0" fillId="0" borderId="8" xfId="0" applyNumberFormat="1" applyBorder="1"/>
    <xf numFmtId="0" fontId="0" fillId="0" borderId="15" xfId="0" applyBorder="1"/>
    <xf numFmtId="0" fontId="0" fillId="0" borderId="9" xfId="0" applyBorder="1"/>
    <xf numFmtId="2" fontId="0" fillId="0" borderId="15" xfId="0" applyNumberFormat="1" applyBorder="1"/>
    <xf numFmtId="164" fontId="0" fillId="0" borderId="15" xfId="0" applyNumberFormat="1" applyBorder="1"/>
    <xf numFmtId="0" fontId="0" fillId="4" borderId="8" xfId="0" applyFill="1" applyBorder="1"/>
    <xf numFmtId="0" fontId="0" fillId="4" borderId="9" xfId="0" applyFill="1" applyBorder="1"/>
    <xf numFmtId="0" fontId="3" fillId="0" borderId="16" xfId="0" applyFont="1" applyBorder="1"/>
    <xf numFmtId="0" fontId="0" fillId="0" borderId="16" xfId="0" applyBorder="1"/>
    <xf numFmtId="0" fontId="0" fillId="4" borderId="16" xfId="0" applyFill="1" applyBorder="1"/>
    <xf numFmtId="167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4" fillId="2" borderId="11" xfId="0" applyFont="1" applyFill="1" applyBorder="1"/>
    <xf numFmtId="0" fontId="0" fillId="0" borderId="24" xfId="0" applyBorder="1"/>
    <xf numFmtId="0" fontId="0" fillId="0" borderId="4" xfId="0" applyBorder="1" applyAlignment="1">
      <alignment wrapText="1"/>
    </xf>
    <xf numFmtId="0" fontId="0" fillId="0" borderId="25" xfId="0" applyBorder="1"/>
    <xf numFmtId="0" fontId="0" fillId="7" borderId="1" xfId="0" applyFill="1" applyBorder="1"/>
    <xf numFmtId="0" fontId="0" fillId="7" borderId="8" xfId="0" applyFill="1" applyBorder="1"/>
    <xf numFmtId="0" fontId="0" fillId="7" borderId="2" xfId="0" applyFill="1" applyBorder="1"/>
    <xf numFmtId="0" fontId="0" fillId="8" borderId="1" xfId="0" applyFill="1" applyBorder="1"/>
    <xf numFmtId="0" fontId="0" fillId="8" borderId="8" xfId="0" applyFill="1" applyBorder="1"/>
    <xf numFmtId="0" fontId="0" fillId="8" borderId="2" xfId="0" applyFill="1" applyBorder="1"/>
    <xf numFmtId="0" fontId="13" fillId="8" borderId="2" xfId="48" applyFill="1" applyBorder="1"/>
    <xf numFmtId="0" fontId="0" fillId="0" borderId="0" xfId="0" applyAlignment="1">
      <alignment vertical="top" wrapText="1"/>
    </xf>
    <xf numFmtId="0" fontId="0" fillId="8" borderId="0" xfId="0" applyFill="1"/>
    <xf numFmtId="0" fontId="4" fillId="0" borderId="4" xfId="0" applyFont="1" applyBorder="1"/>
  </cellXfs>
  <cellStyles count="49">
    <cellStyle name="0mitP" xfId="3" xr:uid="{00000000-0005-0000-0000-000000000000}"/>
    <cellStyle name="0ohneP" xfId="4" xr:uid="{00000000-0005-0000-0000-000001000000}"/>
    <cellStyle name="10mitP" xfId="5" xr:uid="{00000000-0005-0000-0000-000002000000}"/>
    <cellStyle name="12mitP" xfId="6" xr:uid="{00000000-0005-0000-0000-000003000000}"/>
    <cellStyle name="12ohneP" xfId="7" xr:uid="{00000000-0005-0000-0000-000004000000}"/>
    <cellStyle name="13mitP" xfId="8" xr:uid="{00000000-0005-0000-0000-000005000000}"/>
    <cellStyle name="1mitP" xfId="9" xr:uid="{00000000-0005-0000-0000-000006000000}"/>
    <cellStyle name="1ohneP" xfId="10" xr:uid="{00000000-0005-0000-0000-000007000000}"/>
    <cellStyle name="2mitP" xfId="11" xr:uid="{00000000-0005-0000-0000-000008000000}"/>
    <cellStyle name="2ohneP" xfId="12" xr:uid="{00000000-0005-0000-0000-000009000000}"/>
    <cellStyle name="2x indented GHG Textfiels" xfId="13" xr:uid="{00000000-0005-0000-0000-00000A000000}"/>
    <cellStyle name="3mitP" xfId="14" xr:uid="{00000000-0005-0000-0000-00000B000000}"/>
    <cellStyle name="3ohneP" xfId="15" xr:uid="{00000000-0005-0000-0000-00000C000000}"/>
    <cellStyle name="4mitP" xfId="16" xr:uid="{00000000-0005-0000-0000-00000D000000}"/>
    <cellStyle name="4ohneP" xfId="17" xr:uid="{00000000-0005-0000-0000-00000E000000}"/>
    <cellStyle name="5x indented GHG Textfiels" xfId="18" xr:uid="{00000000-0005-0000-0000-00000F000000}"/>
    <cellStyle name="6mitP" xfId="19" xr:uid="{00000000-0005-0000-0000-000010000000}"/>
    <cellStyle name="6ohneP" xfId="20" xr:uid="{00000000-0005-0000-0000-000011000000}"/>
    <cellStyle name="7mitP" xfId="21" xr:uid="{00000000-0005-0000-0000-000012000000}"/>
    <cellStyle name="9mitP" xfId="22" xr:uid="{00000000-0005-0000-0000-000013000000}"/>
    <cellStyle name="9ohneP" xfId="23" xr:uid="{00000000-0005-0000-0000-000014000000}"/>
    <cellStyle name="A4 Auto Format" xfId="24" xr:uid="{00000000-0005-0000-0000-000015000000}"/>
    <cellStyle name="A4 Gg" xfId="25" xr:uid="{00000000-0005-0000-0000-000016000000}"/>
    <cellStyle name="A4 kg" xfId="26" xr:uid="{00000000-0005-0000-0000-000017000000}"/>
    <cellStyle name="A4 kt" xfId="27" xr:uid="{00000000-0005-0000-0000-000018000000}"/>
    <cellStyle name="A4 No Format" xfId="28" xr:uid="{00000000-0005-0000-0000-000019000000}"/>
    <cellStyle name="A4 Normal" xfId="29" xr:uid="{00000000-0005-0000-0000-00001A000000}"/>
    <cellStyle name="A4 Stck" xfId="30" xr:uid="{00000000-0005-0000-0000-00001B000000}"/>
    <cellStyle name="A4 Stk" xfId="31" xr:uid="{00000000-0005-0000-0000-00001C000000}"/>
    <cellStyle name="A4 T.Stk" xfId="32" xr:uid="{00000000-0005-0000-0000-00001D000000}"/>
    <cellStyle name="A4 TJ" xfId="33" xr:uid="{00000000-0005-0000-0000-00001E000000}"/>
    <cellStyle name="A4 TStk" xfId="34" xr:uid="{00000000-0005-0000-0000-00001F000000}"/>
    <cellStyle name="A4 Year" xfId="35" xr:uid="{00000000-0005-0000-0000-000020000000}"/>
    <cellStyle name="Bold GHG Numbers (0.00)" xfId="36" xr:uid="{00000000-0005-0000-0000-000021000000}"/>
    <cellStyle name="Euro" xfId="37" xr:uid="{00000000-0005-0000-0000-000022000000}"/>
    <cellStyle name="Headline" xfId="38" xr:uid="{00000000-0005-0000-0000-000023000000}"/>
    <cellStyle name="Link" xfId="48" builtinId="8"/>
    <cellStyle name="mitP" xfId="39" xr:uid="{00000000-0005-0000-0000-000025000000}"/>
    <cellStyle name="Normal GHG Numbers (0.00)" xfId="40" xr:uid="{00000000-0005-0000-0000-000026000000}"/>
    <cellStyle name="Normal GHG Textfiels Bold" xfId="41" xr:uid="{00000000-0005-0000-0000-000027000000}"/>
    <cellStyle name="Normal GHG whole table" xfId="42" xr:uid="{00000000-0005-0000-0000-000028000000}"/>
    <cellStyle name="Normal GHG-Shade" xfId="43" xr:uid="{00000000-0005-0000-0000-000029000000}"/>
    <cellStyle name="ohneP" xfId="44" xr:uid="{00000000-0005-0000-0000-00002A000000}"/>
    <cellStyle name="Pattern" xfId="45" xr:uid="{00000000-0005-0000-0000-00002B000000}"/>
    <cellStyle name="Prozent" xfId="1" builtinId="5"/>
    <cellStyle name="Standard" xfId="0" builtinId="0"/>
    <cellStyle name="Standard 2" xfId="2" xr:uid="{00000000-0005-0000-0000-00002E000000}"/>
    <cellStyle name="Standard 3" xfId="47" xr:uid="{00000000-0005-0000-0000-00002F000000}"/>
    <cellStyle name="Обычный_2++" xfId="46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esearchgate.net/publication/354706918_Techno-economic_comparison_of_technology_options_for_deep_decarbonization_and_electrification_of_residential_heating/link/61496995519a1a381f7197a8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B11" sqref="B11"/>
    </sheetView>
  </sheetViews>
  <sheetFormatPr baseColWidth="10" defaultColWidth="11.5703125" defaultRowHeight="15"/>
  <cols>
    <col min="1" max="1" width="34.7109375" bestFit="1" customWidth="1"/>
    <col min="2" max="2" width="16.7109375" customWidth="1"/>
    <col min="3" max="3" width="58.7109375" customWidth="1"/>
  </cols>
  <sheetData>
    <row r="1" spans="1:3" ht="19.5" thickBot="1">
      <c r="A1" s="6" t="s">
        <v>39</v>
      </c>
      <c r="B1" s="6" t="s">
        <v>38</v>
      </c>
      <c r="C1" s="6" t="s">
        <v>37</v>
      </c>
    </row>
    <row r="2" spans="1:3" ht="16.5" thickTop="1" thickBot="1"/>
    <row r="3" spans="1:3" ht="15.75">
      <c r="A3" s="15" t="s">
        <v>140</v>
      </c>
      <c r="B3" s="13" t="s">
        <v>141</v>
      </c>
      <c r="C3" s="18" t="s">
        <v>144</v>
      </c>
    </row>
    <row r="4" spans="1:3">
      <c r="A4" s="2" t="s">
        <v>245</v>
      </c>
      <c r="B4" s="23">
        <v>2.71</v>
      </c>
      <c r="C4" s="3"/>
    </row>
    <row r="5" spans="1:3">
      <c r="A5" s="2" t="s">
        <v>244</v>
      </c>
      <c r="B5" s="11">
        <v>7.54</v>
      </c>
      <c r="C5" s="3"/>
    </row>
    <row r="6" spans="1:3">
      <c r="A6" s="2" t="s">
        <v>145</v>
      </c>
      <c r="B6" s="11">
        <v>1.00915</v>
      </c>
      <c r="C6" s="3"/>
    </row>
    <row r="7" spans="1:3">
      <c r="A7" s="2" t="s">
        <v>146</v>
      </c>
      <c r="B7" s="11">
        <v>401.19</v>
      </c>
      <c r="C7" s="3"/>
    </row>
    <row r="8" spans="1:3">
      <c r="A8" s="2" t="s">
        <v>147</v>
      </c>
      <c r="B8" s="11">
        <v>15.87</v>
      </c>
      <c r="C8" s="3"/>
    </row>
    <row r="9" spans="1:3">
      <c r="A9" s="2" t="s">
        <v>148</v>
      </c>
      <c r="B9" s="11">
        <v>-7.339766</v>
      </c>
      <c r="C9" s="3"/>
    </row>
    <row r="10" spans="1:3">
      <c r="A10" s="2" t="s">
        <v>194</v>
      </c>
      <c r="B10" s="11">
        <v>1.04</v>
      </c>
      <c r="C10" s="3" t="s">
        <v>195</v>
      </c>
    </row>
    <row r="11" spans="1:3" ht="15.75" thickBot="1">
      <c r="A11" s="4" t="s">
        <v>205</v>
      </c>
      <c r="B11" s="24">
        <v>1.4</v>
      </c>
      <c r="C11" s="3" t="s">
        <v>206</v>
      </c>
    </row>
    <row r="12" spans="1:3" ht="90.75" thickBot="1">
      <c r="A12" s="35" t="s">
        <v>232</v>
      </c>
      <c r="B12" s="37">
        <v>5</v>
      </c>
      <c r="C12" s="38" t="s">
        <v>254</v>
      </c>
    </row>
    <row r="13" spans="1:3" ht="15.75" thickBot="1"/>
    <row r="14" spans="1:3" ht="15.75">
      <c r="A14" s="15" t="s">
        <v>142</v>
      </c>
      <c r="B14" s="13" t="s">
        <v>141</v>
      </c>
      <c r="C14" s="18" t="s">
        <v>143</v>
      </c>
    </row>
    <row r="15" spans="1:3">
      <c r="A15" s="2" t="s">
        <v>245</v>
      </c>
      <c r="B15" s="23">
        <v>7</v>
      </c>
      <c r="C15" s="3"/>
    </row>
    <row r="16" spans="1:3">
      <c r="A16" s="2" t="s">
        <v>244</v>
      </c>
      <c r="B16" s="11">
        <v>7</v>
      </c>
      <c r="C16" s="3"/>
    </row>
    <row r="17" spans="1:3">
      <c r="A17" s="2" t="s">
        <v>145</v>
      </c>
      <c r="B17" s="11">
        <v>1.5</v>
      </c>
      <c r="C17" s="3"/>
    </row>
    <row r="18" spans="1:3">
      <c r="A18" s="2" t="s">
        <v>146</v>
      </c>
      <c r="B18" s="11">
        <v>554.79999999999995</v>
      </c>
      <c r="C18" s="3"/>
    </row>
    <row r="19" spans="1:3">
      <c r="A19" s="2" t="s">
        <v>147</v>
      </c>
      <c r="B19" s="11">
        <v>12.6</v>
      </c>
      <c r="C19" s="3"/>
    </row>
    <row r="20" spans="1:3">
      <c r="A20" s="2" t="s">
        <v>148</v>
      </c>
      <c r="B20" s="11">
        <v>-7.5</v>
      </c>
      <c r="C20" s="3"/>
    </row>
    <row r="21" spans="1:3">
      <c r="A21" s="2" t="s">
        <v>149</v>
      </c>
      <c r="B21" s="11">
        <v>0.5</v>
      </c>
      <c r="C21" s="3"/>
    </row>
    <row r="22" spans="1:3">
      <c r="A22" s="2" t="s">
        <v>194</v>
      </c>
      <c r="B22" s="11">
        <v>2</v>
      </c>
      <c r="C22" s="3" t="s">
        <v>195</v>
      </c>
    </row>
    <row r="23" spans="1:3" ht="15.75" thickBot="1">
      <c r="A23" s="4" t="s">
        <v>205</v>
      </c>
      <c r="B23" s="24">
        <v>1</v>
      </c>
      <c r="C23" s="3" t="s">
        <v>206</v>
      </c>
    </row>
    <row r="24" spans="1:3" ht="90.75" thickBot="1">
      <c r="A24" s="35" t="s">
        <v>232</v>
      </c>
      <c r="B24" s="37">
        <v>5</v>
      </c>
      <c r="C24" s="38" t="s">
        <v>254</v>
      </c>
    </row>
    <row r="25" spans="1:3" ht="15.75" thickBot="1">
      <c r="B25" s="3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F11" sqref="F11"/>
    </sheetView>
  </sheetViews>
  <sheetFormatPr baseColWidth="10" defaultColWidth="11.5703125" defaultRowHeight="15"/>
  <cols>
    <col min="1" max="1" width="39.7109375" customWidth="1"/>
    <col min="2" max="2" width="21.140625" customWidth="1"/>
    <col min="3" max="3" width="78.85546875" customWidth="1"/>
  </cols>
  <sheetData>
    <row r="1" spans="1:3" ht="19.5" thickBot="1">
      <c r="A1" s="6" t="s">
        <v>39</v>
      </c>
      <c r="B1" s="6" t="s">
        <v>38</v>
      </c>
      <c r="C1" s="6" t="s">
        <v>37</v>
      </c>
    </row>
    <row r="2" spans="1:3" ht="15.75" thickTop="1"/>
    <row r="3" spans="1:3" ht="15.75">
      <c r="A3" s="29" t="s">
        <v>44</v>
      </c>
      <c r="B3" s="30">
        <v>4.1829000000000001</v>
      </c>
      <c r="C3" s="30" t="s">
        <v>51</v>
      </c>
    </row>
    <row r="4" spans="1:3" ht="15.75">
      <c r="A4" s="29" t="s">
        <v>45</v>
      </c>
      <c r="B4" s="30">
        <f>997.807/1000</f>
        <v>0.997807</v>
      </c>
      <c r="C4" s="30" t="s">
        <v>52</v>
      </c>
    </row>
    <row r="5" spans="1:3" ht="15.75">
      <c r="A5" s="29" t="s">
        <v>46</v>
      </c>
      <c r="B5" s="30">
        <f>3.54/0.08989</f>
        <v>39.381466236511294</v>
      </c>
      <c r="C5" s="30" t="s">
        <v>360</v>
      </c>
    </row>
    <row r="6" spans="1:3" ht="15.75">
      <c r="A6" s="29" t="s">
        <v>47</v>
      </c>
      <c r="B6" s="30">
        <f>2.995/0.08989</f>
        <v>33.318500389364779</v>
      </c>
      <c r="C6" s="30" t="s">
        <v>359</v>
      </c>
    </row>
    <row r="7" spans="1:3" ht="15.75">
      <c r="A7" s="29" t="s">
        <v>48</v>
      </c>
      <c r="B7" s="30">
        <v>20</v>
      </c>
      <c r="C7" s="30" t="s">
        <v>53</v>
      </c>
    </row>
    <row r="8" spans="1:3" ht="15.75">
      <c r="A8" s="29" t="s">
        <v>49</v>
      </c>
      <c r="B8" s="30">
        <v>2023</v>
      </c>
      <c r="C8" s="30" t="s">
        <v>54</v>
      </c>
    </row>
    <row r="9" spans="1:3" ht="15.75">
      <c r="A9" s="29" t="s">
        <v>50</v>
      </c>
      <c r="B9" s="30">
        <v>0.7087</v>
      </c>
      <c r="C9" s="30" t="s">
        <v>55</v>
      </c>
    </row>
    <row r="10" spans="1:3" ht="15.75">
      <c r="A10" s="29" t="s">
        <v>189</v>
      </c>
      <c r="B10" s="30">
        <f>10.337/0.783</f>
        <v>13.201787994891442</v>
      </c>
      <c r="C10" s="30" t="s">
        <v>183</v>
      </c>
    </row>
    <row r="11" spans="1:3" ht="15.75">
      <c r="A11" s="29" t="s">
        <v>190</v>
      </c>
      <c r="B11" s="30">
        <f>11.449/ 0.783</f>
        <v>14.621966794380587</v>
      </c>
      <c r="C11" s="30" t="s">
        <v>182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37" sqref="B37"/>
    </sheetView>
  </sheetViews>
  <sheetFormatPr baseColWidth="10" defaultColWidth="11.5703125" defaultRowHeight="15"/>
  <cols>
    <col min="1" max="1" width="29.85546875" bestFit="1" customWidth="1"/>
    <col min="2" max="2" width="25" customWidth="1"/>
    <col min="3" max="3" width="92.7109375" customWidth="1"/>
  </cols>
  <sheetData>
    <row r="1" spans="1:3" ht="19.5" thickBot="1">
      <c r="A1" s="6" t="s">
        <v>39</v>
      </c>
      <c r="B1" s="6" t="s">
        <v>38</v>
      </c>
      <c r="C1" s="6" t="s">
        <v>37</v>
      </c>
    </row>
    <row r="2" spans="1:3" ht="16.5" thickTop="1" thickBot="1"/>
    <row r="3" spans="1:3" ht="15.75">
      <c r="A3" s="15" t="s">
        <v>43</v>
      </c>
      <c r="B3" s="13" t="s">
        <v>8</v>
      </c>
      <c r="C3" s="18"/>
    </row>
    <row r="4" spans="1:3">
      <c r="A4" s="2" t="s">
        <v>9</v>
      </c>
      <c r="B4" s="9">
        <v>60</v>
      </c>
      <c r="C4" s="7"/>
    </row>
    <row r="5" spans="1:3">
      <c r="A5" s="2" t="s">
        <v>10</v>
      </c>
      <c r="B5" s="9">
        <v>50</v>
      </c>
      <c r="C5" s="7"/>
    </row>
    <row r="6" spans="1:3">
      <c r="A6" s="2" t="s">
        <v>11</v>
      </c>
      <c r="B6" s="19" t="s">
        <v>12</v>
      </c>
      <c r="C6" s="7"/>
    </row>
    <row r="7" spans="1:3" ht="15.75" thickBot="1">
      <c r="A7" s="2" t="s">
        <v>13</v>
      </c>
      <c r="B7" s="10">
        <v>1</v>
      </c>
      <c r="C7" s="7"/>
    </row>
    <row r="8" spans="1:3" ht="15.75" thickBot="1">
      <c r="A8" s="4" t="s">
        <v>202</v>
      </c>
      <c r="B8" s="10">
        <v>-1</v>
      </c>
      <c r="C8" s="8" t="s">
        <v>203</v>
      </c>
    </row>
    <row r="16" spans="1:3">
      <c r="B16" s="1"/>
    </row>
    <row r="17" spans="2:2">
      <c r="B17" s="1"/>
    </row>
    <row r="18" spans="2:2">
      <c r="B18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1"/>
  <sheetViews>
    <sheetView topLeftCell="A75" zoomScale="130" zoomScaleNormal="130" workbookViewId="0">
      <selection activeCell="D47" sqref="D47"/>
    </sheetView>
  </sheetViews>
  <sheetFormatPr baseColWidth="10" defaultColWidth="11.5703125" defaultRowHeight="15"/>
  <cols>
    <col min="1" max="2" width="29.85546875" bestFit="1" customWidth="1"/>
    <col min="3" max="3" width="116.7109375" bestFit="1" customWidth="1"/>
  </cols>
  <sheetData>
    <row r="1" spans="1:4" ht="19.5" thickBot="1">
      <c r="A1" s="6" t="s">
        <v>39</v>
      </c>
      <c r="B1" s="6" t="s">
        <v>38</v>
      </c>
      <c r="C1" s="6" t="s">
        <v>37</v>
      </c>
    </row>
    <row r="2" spans="1:4" ht="16.5" thickTop="1" thickBot="1"/>
    <row r="3" spans="1:4" ht="15.75">
      <c r="A3" s="15" t="s">
        <v>43</v>
      </c>
      <c r="B3" s="13" t="s">
        <v>7</v>
      </c>
      <c r="C3" s="18"/>
    </row>
    <row r="4" spans="1:4">
      <c r="A4" s="2" t="s">
        <v>6</v>
      </c>
      <c r="B4" s="9">
        <v>46.7</v>
      </c>
      <c r="C4" s="7" t="s">
        <v>332</v>
      </c>
      <c r="D4" t="s">
        <v>329</v>
      </c>
    </row>
    <row r="5" spans="1:4">
      <c r="A5" s="2" t="s">
        <v>0</v>
      </c>
      <c r="B5" s="9">
        <v>180</v>
      </c>
      <c r="C5" s="7" t="s">
        <v>258</v>
      </c>
      <c r="D5" s="48" t="s">
        <v>259</v>
      </c>
    </row>
    <row r="6" spans="1:4">
      <c r="A6" s="2" t="s">
        <v>1</v>
      </c>
      <c r="B6" s="9">
        <v>40</v>
      </c>
      <c r="C6" s="7" t="s">
        <v>330</v>
      </c>
      <c r="D6" t="s">
        <v>331</v>
      </c>
    </row>
    <row r="7" spans="1:4">
      <c r="A7" s="2" t="s">
        <v>220</v>
      </c>
      <c r="B7" s="9">
        <v>71.5</v>
      </c>
      <c r="C7" s="7" t="s">
        <v>333</v>
      </c>
      <c r="D7" t="s">
        <v>334</v>
      </c>
    </row>
    <row r="8" spans="1:4">
      <c r="A8" s="2" t="s">
        <v>221</v>
      </c>
      <c r="B8" s="9">
        <v>234</v>
      </c>
      <c r="C8" s="7" t="s">
        <v>341</v>
      </c>
      <c r="D8" t="s">
        <v>342</v>
      </c>
    </row>
    <row r="9" spans="1:4">
      <c r="A9" s="2" t="s">
        <v>222</v>
      </c>
      <c r="B9" s="9">
        <v>355.89003692</v>
      </c>
      <c r="C9" s="7" t="s">
        <v>335</v>
      </c>
      <c r="D9" t="s">
        <v>329</v>
      </c>
    </row>
    <row r="10" spans="1:4">
      <c r="A10" s="2" t="s">
        <v>223</v>
      </c>
      <c r="B10" s="9">
        <f>B8*0.125</f>
        <v>29.25</v>
      </c>
      <c r="C10" s="7" t="s">
        <v>333</v>
      </c>
      <c r="D10" t="s">
        <v>343</v>
      </c>
    </row>
    <row r="11" spans="1:4">
      <c r="A11" s="2" t="s">
        <v>2</v>
      </c>
      <c r="B11" s="9">
        <v>9</v>
      </c>
      <c r="D11" s="7" t="s">
        <v>259</v>
      </c>
    </row>
    <row r="12" spans="1:4">
      <c r="A12" s="2" t="s">
        <v>5</v>
      </c>
      <c r="B12" s="9">
        <v>80</v>
      </c>
      <c r="C12" s="7" t="s">
        <v>340</v>
      </c>
      <c r="D12" t="s">
        <v>336</v>
      </c>
    </row>
    <row r="13" spans="1:4">
      <c r="A13" s="2" t="s">
        <v>4</v>
      </c>
      <c r="B13" s="9">
        <v>0.9</v>
      </c>
      <c r="C13" s="7" t="s">
        <v>339</v>
      </c>
      <c r="D13" s="7" t="s">
        <v>259</v>
      </c>
    </row>
    <row r="14" spans="1:4" ht="15.75" thickBot="1">
      <c r="A14" s="4" t="s">
        <v>3</v>
      </c>
      <c r="B14" s="10">
        <v>0.96</v>
      </c>
      <c r="C14" s="8" t="s">
        <v>338</v>
      </c>
      <c r="D14" t="s">
        <v>337</v>
      </c>
    </row>
    <row r="15" spans="1:4" ht="30" customHeight="1" thickBot="1">
      <c r="B15" s="1"/>
      <c r="C15" s="1"/>
    </row>
    <row r="16" spans="1:4" ht="15.75">
      <c r="A16" s="15" t="s">
        <v>43</v>
      </c>
      <c r="B16" s="14" t="s">
        <v>127</v>
      </c>
      <c r="C16" s="17" t="s">
        <v>40</v>
      </c>
    </row>
    <row r="17" spans="1:4">
      <c r="A17" s="2" t="s">
        <v>14</v>
      </c>
      <c r="B17" s="19" t="s">
        <v>15</v>
      </c>
      <c r="C17" s="3"/>
      <c r="D17" t="s">
        <v>260</v>
      </c>
    </row>
    <row r="18" spans="1:4">
      <c r="A18" s="2" t="s">
        <v>16</v>
      </c>
      <c r="B18" s="19" t="s">
        <v>17</v>
      </c>
      <c r="C18" s="3"/>
    </row>
    <row r="19" spans="1:4" ht="16.5">
      <c r="A19" s="2" t="s">
        <v>18</v>
      </c>
      <c r="B19" s="9">
        <v>0.1</v>
      </c>
      <c r="C19" s="3" t="s">
        <v>354</v>
      </c>
    </row>
    <row r="20" spans="1:4">
      <c r="A20" s="2" t="s">
        <v>19</v>
      </c>
      <c r="B20" s="9">
        <f>1/B19</f>
        <v>10</v>
      </c>
      <c r="C20" s="3"/>
    </row>
    <row r="21" spans="1:4">
      <c r="A21" s="2" t="s">
        <v>20</v>
      </c>
      <c r="B21" s="9">
        <v>16.7</v>
      </c>
      <c r="C21" s="3"/>
    </row>
    <row r="22" spans="1:4">
      <c r="A22" s="2" t="s">
        <v>21</v>
      </c>
      <c r="B22" s="9">
        <v>17</v>
      </c>
      <c r="C22" s="3" t="s">
        <v>41</v>
      </c>
    </row>
    <row r="23" spans="1:4">
      <c r="A23" s="2" t="s">
        <v>22</v>
      </c>
      <c r="B23" s="9">
        <v>2.2000000000000002</v>
      </c>
      <c r="C23" s="3" t="s">
        <v>349</v>
      </c>
    </row>
    <row r="24" spans="1:4">
      <c r="A24" s="2" t="s">
        <v>23</v>
      </c>
      <c r="B24" s="9">
        <v>10.1</v>
      </c>
      <c r="C24" s="3" t="s">
        <v>350</v>
      </c>
    </row>
    <row r="25" spans="1:4">
      <c r="A25" s="2" t="s">
        <v>24</v>
      </c>
      <c r="B25" s="9">
        <v>1.9</v>
      </c>
      <c r="C25" s="3" t="s">
        <v>349</v>
      </c>
    </row>
    <row r="26" spans="1:4">
      <c r="A26" s="2" t="s">
        <v>94</v>
      </c>
      <c r="B26" s="9">
        <v>9.1</v>
      </c>
      <c r="C26" s="3" t="s">
        <v>350</v>
      </c>
    </row>
    <row r="27" spans="1:4">
      <c r="A27" s="2" t="s">
        <v>25</v>
      </c>
      <c r="B27" s="9">
        <v>26.3</v>
      </c>
      <c r="C27" s="3" t="s">
        <v>348</v>
      </c>
    </row>
    <row r="28" spans="1:4">
      <c r="A28" s="2" t="s">
        <v>26</v>
      </c>
      <c r="B28" s="9">
        <v>0</v>
      </c>
      <c r="C28" s="3" t="s">
        <v>348</v>
      </c>
    </row>
    <row r="29" spans="1:4" ht="16.5">
      <c r="A29" s="2" t="s">
        <v>27</v>
      </c>
      <c r="B29" s="12">
        <v>23.418199999999999</v>
      </c>
      <c r="C29" s="3" t="s">
        <v>351</v>
      </c>
      <c r="D29" t="s">
        <v>324</v>
      </c>
    </row>
    <row r="30" spans="1:4" ht="16.5">
      <c r="A30" s="2" t="s">
        <v>28</v>
      </c>
      <c r="B30" s="12">
        <v>2.0583999999999998</v>
      </c>
      <c r="C30" s="3" t="s">
        <v>352</v>
      </c>
      <c r="D30" t="s">
        <v>324</v>
      </c>
    </row>
    <row r="31" spans="1:4">
      <c r="A31" s="2" t="s">
        <v>29</v>
      </c>
      <c r="B31" s="9">
        <v>6</v>
      </c>
      <c r="C31" s="3"/>
    </row>
    <row r="32" spans="1:4">
      <c r="A32" s="2" t="s">
        <v>30</v>
      </c>
      <c r="B32" s="21">
        <f>0.033/100</f>
        <v>3.3E-4</v>
      </c>
      <c r="C32" s="3" t="s">
        <v>353</v>
      </c>
    </row>
    <row r="33" spans="1:4">
      <c r="A33" s="2" t="s">
        <v>31</v>
      </c>
      <c r="B33" s="22">
        <f>-0.234/100</f>
        <v>-2.3400000000000001E-3</v>
      </c>
      <c r="C33" s="3" t="s">
        <v>353</v>
      </c>
    </row>
    <row r="34" spans="1:4">
      <c r="A34" s="2" t="s">
        <v>32</v>
      </c>
      <c r="B34" s="22">
        <f>-0.259/100</f>
        <v>-2.5900000000000003E-3</v>
      </c>
      <c r="C34" s="3" t="s">
        <v>353</v>
      </c>
    </row>
    <row r="35" spans="1:4">
      <c r="A35" s="2" t="s">
        <v>33</v>
      </c>
      <c r="B35" s="9">
        <v>0.06</v>
      </c>
      <c r="C35" s="3" t="s">
        <v>42</v>
      </c>
    </row>
    <row r="36" spans="1:4">
      <c r="A36" s="2" t="s">
        <v>34</v>
      </c>
      <c r="B36" s="9">
        <v>25</v>
      </c>
      <c r="C36" s="3"/>
      <c r="D36" t="s">
        <v>328</v>
      </c>
    </row>
    <row r="37" spans="1:4">
      <c r="A37" s="2" t="s">
        <v>35</v>
      </c>
      <c r="B37" s="9">
        <v>1000</v>
      </c>
      <c r="C37" s="3"/>
      <c r="D37" t="s">
        <v>328</v>
      </c>
    </row>
    <row r="38" spans="1:4" ht="15.75" thickBot="1">
      <c r="A38" s="4" t="s">
        <v>36</v>
      </c>
      <c r="B38" s="20">
        <v>0.9</v>
      </c>
      <c r="C38" s="5" t="s">
        <v>327</v>
      </c>
      <c r="D38" t="s">
        <v>347</v>
      </c>
    </row>
    <row r="39" spans="1:4" ht="30" customHeight="1" thickBot="1"/>
    <row r="40" spans="1:4" ht="15.75">
      <c r="A40" s="15" t="s">
        <v>43</v>
      </c>
      <c r="B40" s="14" t="s">
        <v>95</v>
      </c>
      <c r="C40" s="17" t="s">
        <v>96</v>
      </c>
    </row>
    <row r="41" spans="1:4">
      <c r="A41" s="2" t="s">
        <v>97</v>
      </c>
      <c r="B41" s="25">
        <v>2000</v>
      </c>
      <c r="C41" s="3" t="s">
        <v>326</v>
      </c>
      <c r="D41" t="s">
        <v>259</v>
      </c>
    </row>
    <row r="42" spans="1:4">
      <c r="A42" s="2" t="s">
        <v>21</v>
      </c>
      <c r="B42" s="9">
        <v>100</v>
      </c>
      <c r="C42" s="3" t="s">
        <v>325</v>
      </c>
      <c r="D42" t="s">
        <v>259</v>
      </c>
    </row>
    <row r="43" spans="1:4" ht="17.25" thickBot="1">
      <c r="A43" s="4" t="s">
        <v>98</v>
      </c>
      <c r="B43" s="20">
        <f>12*25/(192*0.1)</f>
        <v>15.624999999999998</v>
      </c>
      <c r="C43" s="5" t="s">
        <v>346</v>
      </c>
      <c r="D43" t="s">
        <v>324</v>
      </c>
    </row>
    <row r="44" spans="1:4" ht="15.75" thickBot="1"/>
    <row r="45" spans="1:4" ht="15.75">
      <c r="A45" s="15" t="s">
        <v>43</v>
      </c>
      <c r="B45" s="14" t="s">
        <v>99</v>
      </c>
      <c r="C45" s="17" t="s">
        <v>100</v>
      </c>
    </row>
    <row r="46" spans="1:4">
      <c r="A46" s="2" t="s">
        <v>105</v>
      </c>
      <c r="B46" s="26">
        <v>0.9</v>
      </c>
      <c r="C46" s="3" t="s">
        <v>323</v>
      </c>
      <c r="D46" t="s">
        <v>363</v>
      </c>
    </row>
    <row r="47" spans="1:4">
      <c r="A47" s="2" t="s">
        <v>106</v>
      </c>
      <c r="B47" s="9">
        <v>0.5</v>
      </c>
      <c r="C47" s="3"/>
      <c r="D47" s="3" t="s">
        <v>261</v>
      </c>
    </row>
    <row r="48" spans="1:4" ht="15.75" thickBot="1">
      <c r="A48" s="4" t="s">
        <v>107</v>
      </c>
      <c r="B48" s="24">
        <f>6/(10^6*4.7)</f>
        <v>1.276595744680851E-6</v>
      </c>
      <c r="C48" s="49" t="s">
        <v>361</v>
      </c>
      <c r="D48" t="s">
        <v>362</v>
      </c>
    </row>
    <row r="49" spans="1:4" ht="15.75" thickBot="1"/>
    <row r="50" spans="1:4" ht="15.75">
      <c r="A50" s="15" t="s">
        <v>43</v>
      </c>
      <c r="B50" s="14" t="s">
        <v>101</v>
      </c>
      <c r="C50" s="17" t="s">
        <v>102</v>
      </c>
    </row>
    <row r="51" spans="1:4">
      <c r="A51" s="2" t="s">
        <v>108</v>
      </c>
      <c r="B51" s="23">
        <v>65</v>
      </c>
      <c r="C51" s="3" t="s">
        <v>322</v>
      </c>
      <c r="D51" t="s">
        <v>297</v>
      </c>
    </row>
    <row r="52" spans="1:4">
      <c r="A52" s="2" t="s">
        <v>109</v>
      </c>
      <c r="B52" s="11">
        <v>70</v>
      </c>
      <c r="C52" s="3" t="s">
        <v>321</v>
      </c>
      <c r="D52" t="s">
        <v>295</v>
      </c>
    </row>
    <row r="53" spans="1:4" ht="15.75" thickBot="1">
      <c r="A53" s="4" t="s">
        <v>110</v>
      </c>
      <c r="B53" s="24">
        <v>65</v>
      </c>
      <c r="C53" s="5" t="s">
        <v>319</v>
      </c>
      <c r="D53" t="s">
        <v>320</v>
      </c>
    </row>
    <row r="54" spans="1:4" ht="15.75" thickBot="1"/>
    <row r="55" spans="1:4" ht="15.75">
      <c r="A55" s="15" t="s">
        <v>43</v>
      </c>
      <c r="B55" s="14" t="s">
        <v>103</v>
      </c>
      <c r="C55" s="17" t="s">
        <v>104</v>
      </c>
    </row>
    <row r="56" spans="1:4">
      <c r="A56" s="2" t="s">
        <v>111</v>
      </c>
      <c r="B56" s="23">
        <v>1.8</v>
      </c>
      <c r="C56" s="3" t="s">
        <v>318</v>
      </c>
      <c r="D56" t="s">
        <v>259</v>
      </c>
    </row>
    <row r="57" spans="1:4">
      <c r="A57" s="2" t="s">
        <v>112</v>
      </c>
      <c r="B57" s="11">
        <f>0.5*B56</f>
        <v>0.9</v>
      </c>
      <c r="C57" s="3" t="s">
        <v>316</v>
      </c>
      <c r="D57" t="s">
        <v>317</v>
      </c>
    </row>
    <row r="58" spans="1:4">
      <c r="A58" s="2" t="s">
        <v>113</v>
      </c>
      <c r="B58" s="11">
        <v>57</v>
      </c>
      <c r="C58" s="3" t="s">
        <v>314</v>
      </c>
      <c r="D58" t="s">
        <v>315</v>
      </c>
    </row>
    <row r="59" spans="1:4">
      <c r="A59" s="2" t="s">
        <v>114</v>
      </c>
      <c r="B59" s="11">
        <v>42</v>
      </c>
      <c r="C59" s="3" t="s">
        <v>311</v>
      </c>
      <c r="D59" t="s">
        <v>302</v>
      </c>
    </row>
    <row r="60" spans="1:4">
      <c r="A60" s="2" t="s">
        <v>115</v>
      </c>
      <c r="B60" s="11">
        <v>60</v>
      </c>
      <c r="C60" s="3" t="s">
        <v>312</v>
      </c>
      <c r="D60" t="s">
        <v>313</v>
      </c>
    </row>
    <row r="61" spans="1:4">
      <c r="A61" s="2" t="s">
        <v>116</v>
      </c>
      <c r="B61" s="11">
        <v>10</v>
      </c>
      <c r="C61" s="3" t="s">
        <v>310</v>
      </c>
      <c r="D61" t="s">
        <v>302</v>
      </c>
    </row>
    <row r="62" spans="1:4">
      <c r="A62" s="2" t="s">
        <v>117</v>
      </c>
      <c r="B62" s="11">
        <v>65</v>
      </c>
      <c r="C62" s="3" t="s">
        <v>308</v>
      </c>
      <c r="D62" t="s">
        <v>309</v>
      </c>
    </row>
    <row r="63" spans="1:4">
      <c r="A63" s="2" t="s">
        <v>118</v>
      </c>
      <c r="B63" s="11">
        <v>10</v>
      </c>
      <c r="C63" s="3" t="s">
        <v>307</v>
      </c>
      <c r="D63" t="s">
        <v>309</v>
      </c>
    </row>
    <row r="64" spans="1:4">
      <c r="A64" s="2" t="s">
        <v>119</v>
      </c>
      <c r="B64" s="11">
        <v>55</v>
      </c>
      <c r="C64" s="3" t="s">
        <v>306</v>
      </c>
      <c r="D64" t="s">
        <v>305</v>
      </c>
    </row>
    <row r="65" spans="1:4">
      <c r="A65" s="2" t="s">
        <v>120</v>
      </c>
      <c r="B65" s="11">
        <v>45</v>
      </c>
      <c r="C65" s="3" t="s">
        <v>304</v>
      </c>
      <c r="D65" t="s">
        <v>305</v>
      </c>
    </row>
    <row r="66" spans="1:4">
      <c r="A66" s="2" t="s">
        <v>121</v>
      </c>
      <c r="B66" s="11">
        <v>15</v>
      </c>
      <c r="C66" s="3" t="s">
        <v>303</v>
      </c>
      <c r="D66" t="s">
        <v>259</v>
      </c>
    </row>
    <row r="67" spans="1:4">
      <c r="A67" s="2" t="s">
        <v>122</v>
      </c>
      <c r="B67" s="11">
        <v>0.96</v>
      </c>
      <c r="C67" s="3" t="s">
        <v>301</v>
      </c>
      <c r="D67" t="s">
        <v>302</v>
      </c>
    </row>
    <row r="68" spans="1:4">
      <c r="A68" s="2" t="s">
        <v>123</v>
      </c>
      <c r="B68" s="11">
        <v>6.1038999999999998E-3</v>
      </c>
      <c r="C68" s="3" t="s">
        <v>300</v>
      </c>
      <c r="D68" t="s">
        <v>295</v>
      </c>
    </row>
    <row r="69" spans="1:4">
      <c r="A69" s="2" t="s">
        <v>124</v>
      </c>
      <c r="B69" s="11">
        <v>7.5324700000000003E-3</v>
      </c>
      <c r="C69" s="3" t="s">
        <v>298</v>
      </c>
      <c r="D69" t="s">
        <v>299</v>
      </c>
    </row>
    <row r="70" spans="1:4">
      <c r="A70" s="2" t="s">
        <v>125</v>
      </c>
      <c r="B70" s="11">
        <v>475</v>
      </c>
      <c r="C70" s="3" t="s">
        <v>296</v>
      </c>
      <c r="D70" t="s">
        <v>297</v>
      </c>
    </row>
    <row r="71" spans="1:4" ht="15.75" thickBot="1">
      <c r="A71" s="4" t="s">
        <v>126</v>
      </c>
      <c r="B71" s="24">
        <v>3.5000000000000003E-2</v>
      </c>
      <c r="C71" s="5" t="s">
        <v>294</v>
      </c>
      <c r="D71" t="s">
        <v>295</v>
      </c>
    </row>
    <row r="72" spans="1:4" ht="15.75" thickBot="1"/>
    <row r="73" spans="1:4" ht="15.75">
      <c r="A73" s="15" t="s">
        <v>43</v>
      </c>
      <c r="B73" s="14" t="s">
        <v>192</v>
      </c>
      <c r="C73" s="17" t="s">
        <v>129</v>
      </c>
    </row>
    <row r="74" spans="1:4">
      <c r="A74" s="2" t="s">
        <v>131</v>
      </c>
      <c r="B74" s="23">
        <v>0.09</v>
      </c>
      <c r="C74" s="3" t="s">
        <v>291</v>
      </c>
      <c r="D74" t="s">
        <v>259</v>
      </c>
    </row>
    <row r="75" spans="1:4">
      <c r="A75" s="2" t="s">
        <v>132</v>
      </c>
      <c r="B75" s="11">
        <v>0.93</v>
      </c>
      <c r="C75" s="3" t="s">
        <v>287</v>
      </c>
      <c r="D75" t="s">
        <v>357</v>
      </c>
    </row>
    <row r="76" spans="1:4" ht="15.75" thickBot="1">
      <c r="A76" s="4" t="s">
        <v>355</v>
      </c>
      <c r="B76" s="24">
        <f>'General Parameters'!B5</f>
        <v>39.381466236511294</v>
      </c>
      <c r="C76" s="5" t="s">
        <v>356</v>
      </c>
      <c r="D76" t="s">
        <v>344</v>
      </c>
    </row>
    <row r="77" spans="1:4" ht="30" customHeight="1" thickBot="1"/>
    <row r="78" spans="1:4" ht="15.75">
      <c r="A78" s="15" t="s">
        <v>43</v>
      </c>
      <c r="B78" s="14" t="s">
        <v>128</v>
      </c>
      <c r="C78" s="17" t="s">
        <v>130</v>
      </c>
    </row>
    <row r="79" spans="1:4">
      <c r="A79" s="2" t="s">
        <v>134</v>
      </c>
      <c r="B79" s="23">
        <v>0.45</v>
      </c>
      <c r="C79" s="3" t="s">
        <v>292</v>
      </c>
      <c r="D79" t="s">
        <v>293</v>
      </c>
    </row>
    <row r="80" spans="1:4">
      <c r="A80" s="2" t="s">
        <v>135</v>
      </c>
      <c r="B80" s="11">
        <v>0.95</v>
      </c>
      <c r="C80" s="3" t="s">
        <v>290</v>
      </c>
      <c r="D80" t="s">
        <v>259</v>
      </c>
    </row>
    <row r="81" spans="1:4">
      <c r="A81" s="2" t="s">
        <v>136</v>
      </c>
      <c r="B81" s="11">
        <v>0.9</v>
      </c>
      <c r="C81" s="3" t="s">
        <v>289</v>
      </c>
      <c r="D81" t="s">
        <v>259</v>
      </c>
    </row>
    <row r="82" spans="1:4">
      <c r="A82" s="2" t="s">
        <v>137</v>
      </c>
      <c r="B82" s="11">
        <v>2.5</v>
      </c>
      <c r="C82" s="3" t="s">
        <v>138</v>
      </c>
      <c r="D82" t="s">
        <v>259</v>
      </c>
    </row>
    <row r="83" spans="1:4" ht="15.75" thickBot="1">
      <c r="A83" s="4" t="s">
        <v>133</v>
      </c>
      <c r="B83" s="24">
        <f>B76</f>
        <v>39.381466236511294</v>
      </c>
      <c r="C83" s="5" t="s">
        <v>139</v>
      </c>
      <c r="D83" t="s">
        <v>344</v>
      </c>
    </row>
    <row r="84" spans="1:4" ht="15.75" thickBot="1"/>
    <row r="85" spans="1:4" ht="15.75">
      <c r="A85" s="15" t="s">
        <v>43</v>
      </c>
      <c r="B85" s="14" t="s">
        <v>193</v>
      </c>
      <c r="C85" s="17" t="s">
        <v>191</v>
      </c>
    </row>
    <row r="86" spans="1:4">
      <c r="A86" s="2" t="s">
        <v>131</v>
      </c>
      <c r="B86" s="23">
        <v>0.09</v>
      </c>
      <c r="C86" s="3" t="s">
        <v>288</v>
      </c>
      <c r="D86" t="s">
        <v>259</v>
      </c>
    </row>
    <row r="87" spans="1:4">
      <c r="A87" s="2" t="s">
        <v>132</v>
      </c>
      <c r="B87" s="11">
        <v>0.93</v>
      </c>
      <c r="C87" s="3" t="s">
        <v>287</v>
      </c>
      <c r="D87" t="s">
        <v>259</v>
      </c>
    </row>
    <row r="88" spans="1:4" ht="15.75" thickBot="1">
      <c r="A88" s="4" t="s">
        <v>355</v>
      </c>
      <c r="B88" s="24">
        <f>'General Parameters'!B11</f>
        <v>14.621966794380587</v>
      </c>
      <c r="C88" s="5" t="s">
        <v>358</v>
      </c>
      <c r="D88" t="s">
        <v>344</v>
      </c>
    </row>
    <row r="89" spans="1:4" ht="15.75" thickBot="1"/>
    <row r="90" spans="1:4" ht="15.75">
      <c r="A90" s="15" t="s">
        <v>43</v>
      </c>
      <c r="B90" s="14" t="s">
        <v>207</v>
      </c>
      <c r="C90" s="17" t="s">
        <v>208</v>
      </c>
    </row>
    <row r="91" spans="1:4">
      <c r="A91" s="33" t="s">
        <v>209</v>
      </c>
      <c r="B91" s="23">
        <f>85*3</f>
        <v>255</v>
      </c>
      <c r="C91" s="3" t="s">
        <v>280</v>
      </c>
      <c r="D91" t="s">
        <v>277</v>
      </c>
    </row>
    <row r="92" spans="1:4">
      <c r="A92" s="34" t="s">
        <v>210</v>
      </c>
      <c r="B92" s="11">
        <f>44*3</f>
        <v>132</v>
      </c>
      <c r="C92" s="3" t="s">
        <v>281</v>
      </c>
      <c r="D92" t="s">
        <v>277</v>
      </c>
    </row>
    <row r="93" spans="1:4">
      <c r="A93" s="34" t="s">
        <v>211</v>
      </c>
      <c r="B93" s="11">
        <v>0.17699999999999999</v>
      </c>
      <c r="C93" s="3" t="s">
        <v>282</v>
      </c>
      <c r="D93" t="s">
        <v>277</v>
      </c>
    </row>
    <row r="94" spans="1:4">
      <c r="A94" s="34" t="s">
        <v>212</v>
      </c>
      <c r="B94" s="11">
        <f>35*3</f>
        <v>105</v>
      </c>
      <c r="C94" s="3" t="s">
        <v>283</v>
      </c>
      <c r="D94" t="s">
        <v>278</v>
      </c>
    </row>
    <row r="95" spans="1:4">
      <c r="A95" s="34" t="s">
        <v>213</v>
      </c>
      <c r="B95" s="11">
        <v>9</v>
      </c>
      <c r="C95" s="3" t="s">
        <v>214</v>
      </c>
      <c r="D95" t="s">
        <v>279</v>
      </c>
    </row>
    <row r="96" spans="1:4">
      <c r="A96" s="34" t="s">
        <v>233</v>
      </c>
      <c r="B96" s="11">
        <v>16</v>
      </c>
      <c r="C96" s="3" t="s">
        <v>236</v>
      </c>
      <c r="D96" t="s">
        <v>279</v>
      </c>
    </row>
    <row r="97" spans="1:4">
      <c r="A97" s="34" t="s">
        <v>234</v>
      </c>
      <c r="B97" s="11">
        <v>7</v>
      </c>
      <c r="C97" s="3" t="s">
        <v>237</v>
      </c>
      <c r="D97" t="s">
        <v>279</v>
      </c>
    </row>
    <row r="98" spans="1:4">
      <c r="A98" s="34" t="s">
        <v>242</v>
      </c>
      <c r="B98" s="11">
        <v>22</v>
      </c>
      <c r="C98" s="3" t="s">
        <v>238</v>
      </c>
      <c r="D98" t="s">
        <v>279</v>
      </c>
    </row>
    <row r="99" spans="1:4">
      <c r="A99" s="34" t="s">
        <v>241</v>
      </c>
      <c r="B99" s="11">
        <v>9</v>
      </c>
      <c r="C99" s="3" t="s">
        <v>239</v>
      </c>
      <c r="D99" t="s">
        <v>279</v>
      </c>
    </row>
    <row r="100" spans="1:4">
      <c r="A100" s="34" t="s">
        <v>235</v>
      </c>
      <c r="B100" s="11">
        <v>8</v>
      </c>
      <c r="C100" s="3" t="s">
        <v>240</v>
      </c>
      <c r="D100" t="s">
        <v>279</v>
      </c>
    </row>
    <row r="101" spans="1:4" ht="15.75" thickBot="1">
      <c r="A101" s="35" t="s">
        <v>215</v>
      </c>
      <c r="B101" s="24">
        <v>0.1</v>
      </c>
      <c r="C101" s="5" t="s">
        <v>216</v>
      </c>
      <c r="D101" t="s">
        <v>279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9"/>
  <sheetViews>
    <sheetView zoomScale="106" zoomScaleNormal="106" workbookViewId="0">
      <selection activeCell="C7" sqref="C7"/>
    </sheetView>
  </sheetViews>
  <sheetFormatPr baseColWidth="10" defaultColWidth="11.5703125" defaultRowHeight="15"/>
  <cols>
    <col min="1" max="1" width="22.85546875" customWidth="1"/>
    <col min="2" max="2" width="23.42578125" customWidth="1"/>
    <col min="3" max="3" width="80.140625" bestFit="1" customWidth="1"/>
    <col min="4" max="4" width="18" customWidth="1"/>
    <col min="5" max="5" width="31.42578125" customWidth="1"/>
    <col min="6" max="6" width="104" bestFit="1" customWidth="1"/>
    <col min="7" max="7" width="255.7109375" bestFit="1" customWidth="1"/>
  </cols>
  <sheetData>
    <row r="1" spans="1:7" ht="19.5" thickBot="1">
      <c r="A1" s="6" t="s">
        <v>39</v>
      </c>
      <c r="B1" s="6" t="s">
        <v>151</v>
      </c>
      <c r="C1" s="6" t="s">
        <v>152</v>
      </c>
      <c r="D1" s="6" t="s">
        <v>153</v>
      </c>
      <c r="E1" s="6" t="s">
        <v>150</v>
      </c>
      <c r="F1" s="6" t="s">
        <v>37</v>
      </c>
      <c r="G1" s="6" t="s">
        <v>276</v>
      </c>
    </row>
    <row r="2" spans="1:7" ht="16.5" thickTop="1" thickBot="1"/>
    <row r="3" spans="1:7" ht="15.75">
      <c r="A3" s="16" t="s">
        <v>43</v>
      </c>
      <c r="B3" s="13" t="s">
        <v>56</v>
      </c>
      <c r="C3" s="13"/>
      <c r="D3" s="13"/>
      <c r="E3" s="13"/>
      <c r="F3" s="17"/>
    </row>
    <row r="4" spans="1:7">
      <c r="A4" s="2" t="s">
        <v>57</v>
      </c>
      <c r="B4" s="23">
        <v>272</v>
      </c>
      <c r="C4" s="27"/>
      <c r="D4" s="27"/>
      <c r="E4" s="27"/>
      <c r="F4" s="3" t="s">
        <v>154</v>
      </c>
      <c r="G4" t="s">
        <v>262</v>
      </c>
    </row>
    <row r="5" spans="1:7">
      <c r="A5" s="2" t="s">
        <v>58</v>
      </c>
      <c r="B5" s="11">
        <v>5670.1</v>
      </c>
      <c r="C5" s="30">
        <v>-0.53700000000000003</v>
      </c>
      <c r="D5" s="30">
        <v>2020</v>
      </c>
      <c r="E5" s="30">
        <v>-3</v>
      </c>
      <c r="F5" s="3" t="s">
        <v>155</v>
      </c>
      <c r="G5" t="s">
        <v>263</v>
      </c>
    </row>
    <row r="6" spans="1:7">
      <c r="A6" s="2" t="s">
        <v>59</v>
      </c>
      <c r="B6" s="11">
        <f>2.5*1000</f>
        <v>2500</v>
      </c>
      <c r="C6" s="27"/>
      <c r="D6" s="27"/>
      <c r="E6" s="27"/>
      <c r="F6" s="3" t="s">
        <v>364</v>
      </c>
      <c r="G6" t="s">
        <v>264</v>
      </c>
    </row>
    <row r="7" spans="1:7">
      <c r="A7" s="2" t="s">
        <v>60</v>
      </c>
      <c r="B7" s="11">
        <v>2000</v>
      </c>
      <c r="C7" s="31">
        <v>700</v>
      </c>
      <c r="D7" s="31">
        <v>2021</v>
      </c>
      <c r="E7" s="31">
        <v>-9</v>
      </c>
      <c r="F7" s="3" t="s">
        <v>156</v>
      </c>
      <c r="G7" t="s">
        <v>265</v>
      </c>
    </row>
    <row r="8" spans="1:7">
      <c r="A8" s="2" t="s">
        <v>61</v>
      </c>
      <c r="B8" s="11">
        <v>619.79</v>
      </c>
      <c r="C8" s="31">
        <v>-0.80400000000000005</v>
      </c>
      <c r="D8" s="31">
        <v>2020</v>
      </c>
      <c r="E8" s="31">
        <v>0</v>
      </c>
      <c r="F8" s="3" t="s">
        <v>157</v>
      </c>
      <c r="G8" t="s">
        <v>263</v>
      </c>
    </row>
    <row r="9" spans="1:7">
      <c r="A9" s="2" t="s">
        <v>62</v>
      </c>
      <c r="B9" s="11">
        <v>1045.5999999999999</v>
      </c>
      <c r="C9" s="31">
        <v>-0.42</v>
      </c>
      <c r="D9" s="31">
        <v>2020</v>
      </c>
      <c r="E9" s="31">
        <v>0</v>
      </c>
      <c r="F9" s="3" t="s">
        <v>158</v>
      </c>
      <c r="G9" t="s">
        <v>263</v>
      </c>
    </row>
    <row r="10" spans="1:7">
      <c r="A10" s="2" t="s">
        <v>63</v>
      </c>
      <c r="B10" s="11">
        <v>3500</v>
      </c>
      <c r="C10" s="31">
        <v>8800</v>
      </c>
      <c r="D10" s="31">
        <v>2021</v>
      </c>
      <c r="E10" s="31">
        <v>-5.5</v>
      </c>
      <c r="F10" s="3" t="s">
        <v>159</v>
      </c>
      <c r="G10" t="s">
        <v>265</v>
      </c>
    </row>
    <row r="11" spans="1:7">
      <c r="A11" s="2" t="s">
        <v>64</v>
      </c>
      <c r="B11" s="11">
        <v>500</v>
      </c>
      <c r="C11" s="27"/>
      <c r="D11" s="27"/>
      <c r="E11" s="27"/>
      <c r="F11" s="3" t="s">
        <v>160</v>
      </c>
      <c r="G11" t="s">
        <v>266</v>
      </c>
    </row>
    <row r="12" spans="1:7">
      <c r="A12" s="40" t="s">
        <v>184</v>
      </c>
      <c r="B12" s="41">
        <f>97*0</f>
        <v>0</v>
      </c>
      <c r="C12" s="41"/>
      <c r="D12" s="41"/>
      <c r="E12" s="41"/>
      <c r="F12" s="42" t="s">
        <v>185</v>
      </c>
    </row>
    <row r="13" spans="1:7">
      <c r="A13" s="2" t="s">
        <v>219</v>
      </c>
      <c r="B13" s="11">
        <v>1000</v>
      </c>
      <c r="C13" s="27"/>
      <c r="D13" s="27"/>
      <c r="E13" s="27"/>
      <c r="F13" s="3" t="s">
        <v>256</v>
      </c>
      <c r="G13" t="s">
        <v>271</v>
      </c>
    </row>
    <row r="14" spans="1:7">
      <c r="A14" s="2" t="s">
        <v>255</v>
      </c>
      <c r="B14" s="11">
        <v>0.15</v>
      </c>
      <c r="C14" s="27"/>
      <c r="D14" s="27"/>
      <c r="E14" s="27"/>
      <c r="F14" s="3" t="s">
        <v>257</v>
      </c>
      <c r="G14" t="s">
        <v>271</v>
      </c>
    </row>
    <row r="15" spans="1:7">
      <c r="A15" s="2" t="s">
        <v>65</v>
      </c>
      <c r="B15" s="11">
        <v>0.02</v>
      </c>
      <c r="C15" s="27"/>
      <c r="D15" s="27"/>
      <c r="E15" s="27"/>
      <c r="F15" s="3" t="s">
        <v>161</v>
      </c>
      <c r="G15" t="s">
        <v>262</v>
      </c>
    </row>
    <row r="16" spans="1:7">
      <c r="A16" s="2" t="s">
        <v>66</v>
      </c>
      <c r="B16" s="11">
        <v>7.0000000000000007E-2</v>
      </c>
      <c r="C16" s="27"/>
      <c r="D16" s="27"/>
      <c r="E16" s="27"/>
      <c r="F16" s="3" t="s">
        <v>162</v>
      </c>
      <c r="G16" t="s">
        <v>264</v>
      </c>
    </row>
    <row r="17" spans="1:7">
      <c r="A17" s="2" t="s">
        <v>67</v>
      </c>
      <c r="B17" s="11">
        <v>2.5000000000000001E-2</v>
      </c>
      <c r="C17" s="27"/>
      <c r="D17" s="27"/>
      <c r="E17" s="27"/>
      <c r="F17" s="3" t="s">
        <v>163</v>
      </c>
      <c r="G17" t="s">
        <v>263</v>
      </c>
    </row>
    <row r="18" spans="1:7">
      <c r="A18" s="40" t="s">
        <v>68</v>
      </c>
      <c r="B18" s="41">
        <v>0</v>
      </c>
      <c r="C18" s="41"/>
      <c r="D18" s="41"/>
      <c r="E18" s="41"/>
      <c r="F18" s="42" t="s">
        <v>164</v>
      </c>
    </row>
    <row r="19" spans="1:7">
      <c r="A19" s="2" t="s">
        <v>69</v>
      </c>
      <c r="B19" s="11">
        <v>0.02</v>
      </c>
      <c r="C19" s="27"/>
      <c r="D19" s="27"/>
      <c r="E19" s="27"/>
      <c r="F19" s="3" t="s">
        <v>165</v>
      </c>
      <c r="G19" t="s">
        <v>263</v>
      </c>
    </row>
    <row r="20" spans="1:7">
      <c r="A20" s="2" t="s">
        <v>70</v>
      </c>
      <c r="B20" s="11">
        <v>0.03</v>
      </c>
      <c r="C20" s="27"/>
      <c r="D20" s="27"/>
      <c r="E20" s="27"/>
      <c r="F20" s="3" t="s">
        <v>166</v>
      </c>
      <c r="G20" t="s">
        <v>268</v>
      </c>
    </row>
    <row r="21" spans="1:7">
      <c r="A21" s="43" t="s">
        <v>71</v>
      </c>
      <c r="B21" s="44">
        <v>2.9000000000000001E-2</v>
      </c>
      <c r="C21" s="44"/>
      <c r="D21" s="44"/>
      <c r="E21" s="44"/>
      <c r="F21" s="45" t="s">
        <v>167</v>
      </c>
    </row>
    <row r="22" spans="1:7">
      <c r="A22" s="2" t="s">
        <v>72</v>
      </c>
      <c r="B22" s="11">
        <v>3.5000000000000003E-2</v>
      </c>
      <c r="C22" s="27"/>
      <c r="D22" s="27"/>
      <c r="E22" s="27"/>
      <c r="F22" s="3"/>
      <c r="G22" t="s">
        <v>266</v>
      </c>
    </row>
    <row r="23" spans="1:7">
      <c r="A23" s="43" t="s">
        <v>186</v>
      </c>
      <c r="B23" s="44">
        <f>97*0.027</f>
        <v>2.6189999999999998</v>
      </c>
      <c r="C23" s="44"/>
      <c r="D23" s="44"/>
      <c r="E23" s="44"/>
      <c r="F23" s="45" t="s">
        <v>187</v>
      </c>
    </row>
    <row r="24" spans="1:7">
      <c r="A24" s="2" t="s">
        <v>73</v>
      </c>
      <c r="B24" s="11">
        <v>25</v>
      </c>
      <c r="C24" s="27"/>
      <c r="D24" s="27"/>
      <c r="E24" s="27"/>
      <c r="F24" s="3" t="s">
        <v>168</v>
      </c>
      <c r="G24" t="s">
        <v>262</v>
      </c>
    </row>
    <row r="25" spans="1:7">
      <c r="A25" s="2" t="s">
        <v>74</v>
      </c>
      <c r="B25" s="11">
        <v>20</v>
      </c>
      <c r="C25" s="27"/>
      <c r="D25" s="27"/>
      <c r="E25" s="27"/>
      <c r="F25" s="3" t="s">
        <v>168</v>
      </c>
      <c r="G25" t="s">
        <v>263</v>
      </c>
    </row>
    <row r="26" spans="1:7">
      <c r="A26" s="2" t="s">
        <v>75</v>
      </c>
      <c r="B26" s="11">
        <v>25</v>
      </c>
      <c r="C26" s="27"/>
      <c r="D26" s="27"/>
      <c r="E26" s="27"/>
      <c r="F26" s="3" t="s">
        <v>168</v>
      </c>
      <c r="G26" t="s">
        <v>264</v>
      </c>
    </row>
    <row r="27" spans="1:7">
      <c r="A27" s="2" t="s">
        <v>76</v>
      </c>
      <c r="B27" s="11">
        <v>20</v>
      </c>
      <c r="C27" s="27"/>
      <c r="D27" s="27"/>
      <c r="E27" s="27"/>
      <c r="F27" s="3" t="s">
        <v>168</v>
      </c>
      <c r="G27" t="s">
        <v>265</v>
      </c>
    </row>
    <row r="28" spans="1:7">
      <c r="A28" s="2" t="s">
        <v>77</v>
      </c>
      <c r="B28" s="11">
        <v>25</v>
      </c>
      <c r="C28" s="27"/>
      <c r="D28" s="27"/>
      <c r="E28" s="27"/>
      <c r="F28" s="3" t="s">
        <v>168</v>
      </c>
      <c r="G28" t="s">
        <v>263</v>
      </c>
    </row>
    <row r="29" spans="1:7">
      <c r="A29" s="2" t="s">
        <v>78</v>
      </c>
      <c r="B29" s="11">
        <v>22</v>
      </c>
      <c r="C29" s="27"/>
      <c r="D29" s="27"/>
      <c r="E29" s="27"/>
      <c r="F29" s="3" t="s">
        <v>168</v>
      </c>
      <c r="G29" t="s">
        <v>263</v>
      </c>
    </row>
    <row r="30" spans="1:7">
      <c r="A30" s="2" t="s">
        <v>79</v>
      </c>
      <c r="B30" s="11">
        <v>10</v>
      </c>
      <c r="C30" s="27"/>
      <c r="D30" s="27"/>
      <c r="E30" s="27"/>
      <c r="F30" s="3" t="s">
        <v>168</v>
      </c>
      <c r="G30" t="s">
        <v>265</v>
      </c>
    </row>
    <row r="31" spans="1:7">
      <c r="A31" s="43" t="s">
        <v>188</v>
      </c>
      <c r="B31" s="44">
        <v>25</v>
      </c>
      <c r="C31" s="44"/>
      <c r="D31" s="44"/>
      <c r="E31" s="44"/>
      <c r="F31" s="46" t="s">
        <v>168</v>
      </c>
    </row>
    <row r="32" spans="1:7">
      <c r="A32" s="2" t="s">
        <v>80</v>
      </c>
      <c r="B32" s="11">
        <v>20</v>
      </c>
      <c r="C32" s="27"/>
      <c r="D32" s="27"/>
      <c r="E32" s="27"/>
      <c r="F32" s="3"/>
      <c r="G32" t="s">
        <v>266</v>
      </c>
    </row>
    <row r="33" spans="1:7">
      <c r="A33" s="2" t="s">
        <v>217</v>
      </c>
      <c r="B33" s="11">
        <v>20</v>
      </c>
      <c r="C33" s="27"/>
      <c r="D33" s="27"/>
      <c r="E33" s="27"/>
      <c r="F33" s="3" t="s">
        <v>218</v>
      </c>
      <c r="G33" t="s">
        <v>267</v>
      </c>
    </row>
    <row r="34" spans="1:7">
      <c r="A34" s="2" t="s">
        <v>81</v>
      </c>
      <c r="B34" s="11">
        <v>9.2799999999999994</v>
      </c>
      <c r="C34" s="27"/>
      <c r="D34" s="27"/>
      <c r="E34" s="27"/>
      <c r="F34" s="3" t="s">
        <v>169</v>
      </c>
      <c r="G34" t="s">
        <v>269</v>
      </c>
    </row>
    <row r="35" spans="1:7">
      <c r="A35" s="2" t="s">
        <v>82</v>
      </c>
      <c r="B35" s="11">
        <v>0.32</v>
      </c>
      <c r="C35" s="27"/>
      <c r="D35" s="27"/>
      <c r="E35" s="27"/>
      <c r="F35" s="3" t="s">
        <v>170</v>
      </c>
      <c r="G35" t="s">
        <v>270</v>
      </c>
    </row>
    <row r="36" spans="1:7">
      <c r="A36" s="2" t="s">
        <v>83</v>
      </c>
      <c r="B36" s="11">
        <v>0.224</v>
      </c>
      <c r="C36" s="27"/>
      <c r="D36" s="27"/>
      <c r="E36" s="27"/>
      <c r="F36" s="3" t="s">
        <v>171</v>
      </c>
      <c r="G36" t="s">
        <v>270</v>
      </c>
    </row>
    <row r="37" spans="1:7" ht="18">
      <c r="A37" s="43" t="s">
        <v>198</v>
      </c>
      <c r="B37" s="44">
        <f>'General Parameters'!B10*0.1</f>
        <v>1.3201787994891443</v>
      </c>
      <c r="C37" s="44"/>
      <c r="D37" s="44"/>
      <c r="E37" s="44"/>
      <c r="F37" s="45" t="s">
        <v>204</v>
      </c>
      <c r="G37" t="s">
        <v>345</v>
      </c>
    </row>
    <row r="38" spans="1:7" ht="105">
      <c r="A38" s="2" t="s">
        <v>84</v>
      </c>
      <c r="B38" s="11">
        <v>8.2000000000000003E-2</v>
      </c>
      <c r="C38" s="27"/>
      <c r="D38" s="27"/>
      <c r="E38" s="27"/>
      <c r="F38" s="3" t="s">
        <v>172</v>
      </c>
      <c r="G38" s="47" t="s">
        <v>272</v>
      </c>
    </row>
    <row r="39" spans="1:7">
      <c r="A39" s="2" t="s">
        <v>85</v>
      </c>
      <c r="B39" s="11">
        <v>0.08</v>
      </c>
      <c r="C39" s="27"/>
      <c r="D39" s="27"/>
      <c r="E39" s="27"/>
      <c r="F39" s="3" t="s">
        <v>173</v>
      </c>
      <c r="G39" t="s">
        <v>273</v>
      </c>
    </row>
    <row r="40" spans="1:7">
      <c r="A40" s="2" t="s">
        <v>86</v>
      </c>
      <c r="B40" s="11">
        <v>0.16</v>
      </c>
      <c r="C40" s="27"/>
      <c r="D40" s="27"/>
      <c r="E40" s="27"/>
      <c r="F40" s="3" t="s">
        <v>174</v>
      </c>
      <c r="G40" t="s">
        <v>273</v>
      </c>
    </row>
    <row r="41" spans="1:7">
      <c r="A41" s="40" t="s">
        <v>87</v>
      </c>
      <c r="B41" s="41">
        <f>0/100</f>
        <v>0</v>
      </c>
      <c r="C41" s="41"/>
      <c r="D41" s="41"/>
      <c r="E41" s="41"/>
      <c r="F41" s="42" t="s">
        <v>175</v>
      </c>
    </row>
    <row r="42" spans="1:7">
      <c r="A42" s="40" t="s">
        <v>196</v>
      </c>
      <c r="B42" s="41">
        <v>0</v>
      </c>
      <c r="C42" s="41"/>
      <c r="D42" s="41"/>
      <c r="E42" s="41"/>
      <c r="F42" s="42" t="s">
        <v>197</v>
      </c>
    </row>
    <row r="43" spans="1:7">
      <c r="A43" s="40" t="s">
        <v>88</v>
      </c>
      <c r="B43" s="41">
        <v>0</v>
      </c>
      <c r="C43" s="41"/>
      <c r="D43" s="41"/>
      <c r="E43" s="41"/>
      <c r="F43" s="42" t="s">
        <v>176</v>
      </c>
    </row>
    <row r="44" spans="1:7">
      <c r="A44" s="40" t="s">
        <v>89</v>
      </c>
      <c r="B44" s="41">
        <v>0</v>
      </c>
      <c r="C44" s="41"/>
      <c r="D44" s="41"/>
      <c r="E44" s="41"/>
      <c r="F44" s="42" t="s">
        <v>177</v>
      </c>
    </row>
    <row r="45" spans="1:7">
      <c r="A45" s="2" t="s">
        <v>90</v>
      </c>
      <c r="B45" s="11">
        <f>4.6/100</f>
        <v>4.5999999999999999E-2</v>
      </c>
      <c r="C45" s="27"/>
      <c r="D45" s="27"/>
      <c r="E45" s="27"/>
      <c r="F45" s="3" t="s">
        <v>178</v>
      </c>
      <c r="G45" t="s">
        <v>274</v>
      </c>
    </row>
    <row r="46" spans="1:7">
      <c r="A46" s="2" t="s">
        <v>91</v>
      </c>
      <c r="B46" s="11">
        <f>2/100</f>
        <v>0.02</v>
      </c>
      <c r="C46" s="27"/>
      <c r="D46" s="27"/>
      <c r="E46" s="27"/>
      <c r="F46" s="3" t="s">
        <v>179</v>
      </c>
      <c r="G46" t="s">
        <v>275</v>
      </c>
    </row>
    <row r="47" spans="1:7">
      <c r="A47" s="2" t="s">
        <v>92</v>
      </c>
      <c r="B47" s="11">
        <f>'General Parameters'!B7</f>
        <v>20</v>
      </c>
      <c r="C47" s="27"/>
      <c r="D47" s="27"/>
      <c r="E47" s="27"/>
      <c r="F47" s="3" t="s">
        <v>180</v>
      </c>
    </row>
    <row r="48" spans="1:7" ht="15.75" thickBot="1">
      <c r="A48" s="4" t="s">
        <v>93</v>
      </c>
      <c r="B48" s="24">
        <f>'General Parameters'!B8</f>
        <v>2023</v>
      </c>
      <c r="C48" s="28"/>
      <c r="D48" s="28"/>
      <c r="E48" s="28"/>
      <c r="F48" s="5" t="s">
        <v>181</v>
      </c>
    </row>
    <row r="49" spans="1:4" ht="15.75" thickBot="1"/>
    <row r="50" spans="1:4" ht="15.75">
      <c r="A50" s="36" t="s">
        <v>43</v>
      </c>
      <c r="B50" s="14" t="s">
        <v>224</v>
      </c>
      <c r="C50" s="17"/>
    </row>
    <row r="51" spans="1:4">
      <c r="A51" s="34" t="s">
        <v>225</v>
      </c>
      <c r="B51" s="11">
        <v>520.62205213844038</v>
      </c>
      <c r="C51" s="3" t="s">
        <v>226</v>
      </c>
      <c r="D51" t="s">
        <v>285</v>
      </c>
    </row>
    <row r="52" spans="1:4">
      <c r="A52" s="34" t="s">
        <v>227</v>
      </c>
      <c r="B52">
        <v>200.9384</v>
      </c>
      <c r="C52" s="3" t="s">
        <v>228</v>
      </c>
      <c r="D52" t="s">
        <v>285</v>
      </c>
    </row>
    <row r="53" spans="1:4">
      <c r="A53" s="34" t="s">
        <v>252</v>
      </c>
      <c r="B53" s="11">
        <v>59.986599999999996</v>
      </c>
      <c r="C53" s="3" t="s">
        <v>251</v>
      </c>
      <c r="D53" t="s">
        <v>285</v>
      </c>
    </row>
    <row r="54" spans="1:4">
      <c r="A54" s="34" t="s">
        <v>229</v>
      </c>
      <c r="B54" s="11">
        <v>123.04440000000001</v>
      </c>
      <c r="C54" s="3" t="s">
        <v>230</v>
      </c>
      <c r="D54" t="s">
        <v>285</v>
      </c>
    </row>
    <row r="55" spans="1:4">
      <c r="A55" s="34" t="s">
        <v>253</v>
      </c>
      <c r="B55" s="11">
        <v>66.626000000000005</v>
      </c>
      <c r="C55" s="3" t="s">
        <v>231</v>
      </c>
      <c r="D55" t="s">
        <v>285</v>
      </c>
    </row>
    <row r="56" spans="1:4">
      <c r="A56" s="2" t="s">
        <v>246</v>
      </c>
      <c r="B56" s="11">
        <v>83.768899950627713</v>
      </c>
      <c r="C56" s="3" t="s">
        <v>243</v>
      </c>
      <c r="D56" t="s">
        <v>285</v>
      </c>
    </row>
    <row r="57" spans="1:4">
      <c r="A57" s="34" t="s">
        <v>247</v>
      </c>
      <c r="B57" s="11">
        <v>1.6</v>
      </c>
      <c r="C57" s="3" t="s">
        <v>248</v>
      </c>
      <c r="D57" t="s">
        <v>286</v>
      </c>
    </row>
    <row r="58" spans="1:4">
      <c r="A58" s="34" t="s">
        <v>249</v>
      </c>
      <c r="B58">
        <v>6535.8</v>
      </c>
      <c r="C58" s="7" t="s">
        <v>284</v>
      </c>
      <c r="D58" t="s">
        <v>285</v>
      </c>
    </row>
    <row r="59" spans="1:4" ht="15.75" thickBot="1">
      <c r="A59" s="35" t="s">
        <v>250</v>
      </c>
      <c r="B59" s="39">
        <v>3088.9</v>
      </c>
      <c r="C59" s="8" t="s">
        <v>284</v>
      </c>
      <c r="D59" t="s">
        <v>285</v>
      </c>
    </row>
  </sheetData>
  <hyperlinks>
    <hyperlink ref="F31" r:id="rId1" xr:uid="{00000000-0004-0000-0400-000000000000}"/>
  </hyperlinks>
  <pageMargins left="0.7" right="0.7" top="0.78740157499999996" bottom="0.78740157499999996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C40" sqref="C40:C41"/>
    </sheetView>
  </sheetViews>
  <sheetFormatPr baseColWidth="10" defaultColWidth="11.5703125" defaultRowHeight="15"/>
  <cols>
    <col min="1" max="1" width="17.140625" bestFit="1" customWidth="1"/>
    <col min="2" max="2" width="14.85546875" bestFit="1" customWidth="1"/>
    <col min="3" max="3" width="110.7109375" bestFit="1" customWidth="1"/>
  </cols>
  <sheetData>
    <row r="1" spans="1:3" ht="19.5" thickBot="1">
      <c r="A1" s="6" t="s">
        <v>39</v>
      </c>
      <c r="B1" s="6" t="s">
        <v>38</v>
      </c>
      <c r="C1" s="6" t="s">
        <v>37</v>
      </c>
    </row>
    <row r="2" spans="1:3" ht="16.5" thickTop="1" thickBot="1"/>
    <row r="3" spans="1:3" ht="15.75">
      <c r="A3" s="16" t="s">
        <v>43</v>
      </c>
      <c r="B3" s="13" t="s">
        <v>199</v>
      </c>
      <c r="C3" s="13"/>
    </row>
    <row r="4" spans="1:3">
      <c r="A4" t="s">
        <v>200</v>
      </c>
      <c r="B4" s="32">
        <f>55.8*'General Parameters'!B10*3.6*10^(-3)</f>
        <v>2.6519751724137928</v>
      </c>
      <c r="C4" t="s">
        <v>201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C9A9039784B7647AAF23BA8ACBADD70" ma:contentTypeVersion="12" ma:contentTypeDescription="Ein neues Dokument erstellen." ma:contentTypeScope="" ma:versionID="291d4009d0b8646e1caa4a6eed07d34a">
  <xsd:schema xmlns:xsd="http://www.w3.org/2001/XMLSchema" xmlns:xs="http://www.w3.org/2001/XMLSchema" xmlns:p="http://schemas.microsoft.com/office/2006/metadata/properties" xmlns:ns2="a0859107-3c0b-4b91-bd7f-4ac6d3cb1011" xmlns:ns3="fcf64be6-fa1d-4429-9d6e-94f04ba325a7" targetNamespace="http://schemas.microsoft.com/office/2006/metadata/properties" ma:root="true" ma:fieldsID="3945b2b3872b3acffff79cbfd19ca023" ns2:_="" ns3:_="">
    <xsd:import namespace="a0859107-3c0b-4b91-bd7f-4ac6d3cb1011"/>
    <xsd:import namespace="fcf64be6-fa1d-4429-9d6e-94f04ba32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59107-3c0b-4b91-bd7f-4ac6d3cb1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64be6-fa1d-4429-9d6e-94f04ba325a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f8a1a94-be00-40c3-82ef-d5e664795c97}" ma:internalName="TaxCatchAll" ma:showField="CatchAllData" ma:web="fcf64be6-fa1d-4429-9d6e-94f04ba32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0859107-3c0b-4b91-bd7f-4ac6d3cb1011">
      <Terms xmlns="http://schemas.microsoft.com/office/infopath/2007/PartnerControls"/>
    </lcf76f155ced4ddcb4097134ff3c332f>
    <TaxCatchAll xmlns="fcf64be6-fa1d-4429-9d6e-94f04ba325a7" xsi:nil="true"/>
  </documentManagement>
</p:properties>
</file>

<file path=customXml/itemProps1.xml><?xml version="1.0" encoding="utf-8"?>
<ds:datastoreItem xmlns:ds="http://schemas.openxmlformats.org/officeDocument/2006/customXml" ds:itemID="{9669BB73-C4FD-448F-8A32-3882D6EB92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649514-11E0-407D-91D9-C8919EC54E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859107-3c0b-4b91-bd7f-4ac6d3cb1011"/>
    <ds:schemaRef ds:uri="fcf64be6-fa1d-4429-9d6e-94f04ba325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A8731C-0F27-477A-BE35-BC6711B83493}">
  <ds:schemaRefs>
    <ds:schemaRef ds:uri="http://schemas.microsoft.com/office/2006/metadata/properties"/>
    <ds:schemaRef ds:uri="http://schemas.microsoft.com/office/infopath/2007/PartnerControls"/>
    <ds:schemaRef ds:uri="a0859107-3c0b-4b91-bd7f-4ac6d3cb1011"/>
    <ds:schemaRef ds:uri="fcf64be6-fa1d-4429-9d6e-94f04ba325a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Own Design</vt:lpstr>
      <vt:lpstr>General Parameters</vt:lpstr>
      <vt:lpstr>Optimization Parameters</vt:lpstr>
      <vt:lpstr>Technical Parameters</vt:lpstr>
      <vt:lpstr>Economical Parameters</vt:lpstr>
      <vt:lpstr>Ecological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 Grunenberg</dc:creator>
  <cp:lastModifiedBy>Henrik Naß</cp:lastModifiedBy>
  <dcterms:created xsi:type="dcterms:W3CDTF">2023-12-14T16:51:39Z</dcterms:created>
  <dcterms:modified xsi:type="dcterms:W3CDTF">2024-11-19T14:30:31Z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0x010100DC9A9039784B7647AAF23BA8ACBADD70</vt:lpwstr>
  </property>
</Properties>
</file>