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mc:AlternateContent xmlns:mc="http://schemas.openxmlformats.org/markup-compatibility/2006">
    <mc:Choice Requires="x15">
      <x15ac:absPath xmlns:x15ac="http://schemas.microsoft.com/office/spreadsheetml/2010/11/ac" url="C:\Users\user\Desktop\"/>
    </mc:Choice>
  </mc:AlternateContent>
  <xr:revisionPtr revIDLastSave="0" documentId="8_{42E32A0D-527E-4EB9-92FC-28724DB40B80}" xr6:coauthVersionLast="46" xr6:coauthVersionMax="46" xr10:uidLastSave="{00000000-0000-0000-0000-000000000000}"/>
  <bookViews>
    <workbookView xWindow="-120" yWindow="-120" windowWidth="20730" windowHeight="11160" activeTab="1" xr2:uid="{00000000-000D-0000-FFFF-FFFF00000000}"/>
  </bookViews>
  <sheets>
    <sheet name="Enoncé" sheetId="1" r:id="rId1"/>
    <sheet name="Triangle" sheetId="2" r:id="rId2"/>
    <sheet name="Courbe des taux"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V142" i="2" l="1"/>
  <c r="AV141" i="2"/>
  <c r="AU142" i="2"/>
  <c r="AU141" i="2"/>
  <c r="AT142" i="2"/>
  <c r="AT141" i="2"/>
  <c r="AR142" i="2"/>
  <c r="AR141" i="2"/>
  <c r="AQ142" i="2"/>
  <c r="AQ141" i="2"/>
  <c r="AP142" i="2"/>
  <c r="AP141" i="2"/>
  <c r="AO142" i="2"/>
  <c r="AO141" i="2"/>
  <c r="AN142" i="2"/>
  <c r="AN141" i="2"/>
  <c r="AS142" i="2"/>
  <c r="AS141" i="2"/>
  <c r="AB136" i="2"/>
  <c r="AB125" i="2"/>
  <c r="AH99" i="2" l="1"/>
  <c r="AH98" i="2"/>
  <c r="AH97" i="2"/>
  <c r="AH96" i="2"/>
  <c r="AH95" i="2"/>
  <c r="AH94" i="2"/>
  <c r="AH93" i="2"/>
  <c r="AH92" i="2"/>
  <c r="AH91" i="2"/>
  <c r="AH90" i="2"/>
  <c r="AH89" i="2"/>
  <c r="AH88" i="2"/>
  <c r="AH87" i="2"/>
  <c r="AH86" i="2"/>
  <c r="AH85" i="2"/>
  <c r="AG6" i="2" l="1"/>
  <c r="AG86" i="2"/>
  <c r="AG87" i="2"/>
  <c r="AG88" i="2"/>
  <c r="AG89" i="2"/>
  <c r="AG90" i="2"/>
  <c r="AG91" i="2"/>
  <c r="AG92" i="2"/>
  <c r="AG93" i="2"/>
  <c r="AG94" i="2"/>
  <c r="AG95" i="2"/>
  <c r="AG96" i="2"/>
  <c r="AG97" i="2"/>
  <c r="AG98" i="2"/>
  <c r="AG99" i="2"/>
  <c r="AG85" i="2"/>
  <c r="AF86" i="2"/>
  <c r="AF87" i="2"/>
  <c r="AF88" i="2"/>
  <c r="AF89" i="2"/>
  <c r="AF90" i="2"/>
  <c r="AF91" i="2"/>
  <c r="AF92" i="2"/>
  <c r="AF93" i="2"/>
  <c r="AF94" i="2"/>
  <c r="AF95" i="2"/>
  <c r="AF96" i="2"/>
  <c r="AF97" i="2"/>
  <c r="AF98" i="2"/>
  <c r="AF99" i="2"/>
  <c r="AF85" i="2"/>
  <c r="AU79" i="2"/>
  <c r="AP134" i="2" l="1"/>
  <c r="AY73" i="2"/>
  <c r="AZ70" i="2" s="1"/>
  <c r="AZ62" i="2" l="1"/>
  <c r="AU23" i="2"/>
  <c r="AG7" i="2"/>
  <c r="AH7" i="2"/>
  <c r="AI7" i="2"/>
  <c r="AJ7" i="2"/>
  <c r="AK7" i="2"/>
  <c r="AL7" i="2"/>
  <c r="AM7" i="2"/>
  <c r="AN7" i="2"/>
  <c r="AO7" i="2"/>
  <c r="AP7" i="2"/>
  <c r="AQ7" i="2"/>
  <c r="AR7" i="2"/>
  <c r="AS7" i="2"/>
  <c r="AT7" i="2"/>
  <c r="AG8" i="2"/>
  <c r="AH8" i="2"/>
  <c r="AI8" i="2"/>
  <c r="AJ8" i="2"/>
  <c r="AK8" i="2"/>
  <c r="AL8" i="2"/>
  <c r="AM8" i="2"/>
  <c r="AN8" i="2"/>
  <c r="AO8" i="2"/>
  <c r="AP8" i="2"/>
  <c r="AQ8" i="2"/>
  <c r="AR8" i="2"/>
  <c r="AS8" i="2"/>
  <c r="AG9" i="2"/>
  <c r="AH9" i="2"/>
  <c r="AI9" i="2"/>
  <c r="AJ9" i="2"/>
  <c r="AK9" i="2"/>
  <c r="AL9" i="2"/>
  <c r="AM9" i="2"/>
  <c r="AN9" i="2"/>
  <c r="AO9" i="2"/>
  <c r="AP9" i="2"/>
  <c r="AQ9" i="2"/>
  <c r="AR9" i="2"/>
  <c r="AG10" i="2"/>
  <c r="AH10" i="2"/>
  <c r="AI10" i="2"/>
  <c r="AJ10" i="2"/>
  <c r="AK10" i="2"/>
  <c r="AL10" i="2"/>
  <c r="AM10" i="2"/>
  <c r="AN10" i="2"/>
  <c r="AO10" i="2"/>
  <c r="AP10" i="2"/>
  <c r="AQ10" i="2"/>
  <c r="AG11" i="2"/>
  <c r="AH11" i="2"/>
  <c r="AI11" i="2"/>
  <c r="AJ11" i="2"/>
  <c r="AK11" i="2"/>
  <c r="AL11" i="2"/>
  <c r="AM11" i="2"/>
  <c r="AN11" i="2"/>
  <c r="AO11" i="2"/>
  <c r="AP11" i="2"/>
  <c r="AG12" i="2"/>
  <c r="AH12" i="2"/>
  <c r="AI12" i="2"/>
  <c r="AJ12" i="2"/>
  <c r="AK12" i="2"/>
  <c r="AL12" i="2"/>
  <c r="AM12" i="2"/>
  <c r="AN12" i="2"/>
  <c r="AO12" i="2"/>
  <c r="AG13" i="2"/>
  <c r="AH13" i="2"/>
  <c r="AI13" i="2"/>
  <c r="AJ13" i="2"/>
  <c r="AK13" i="2"/>
  <c r="AL13" i="2"/>
  <c r="AM13" i="2"/>
  <c r="AN13" i="2"/>
  <c r="AG14" i="2"/>
  <c r="AH14" i="2"/>
  <c r="AI14" i="2"/>
  <c r="AJ14" i="2"/>
  <c r="AK14" i="2"/>
  <c r="AL14" i="2"/>
  <c r="AM14" i="2"/>
  <c r="AG15" i="2"/>
  <c r="AH15" i="2"/>
  <c r="AI15" i="2"/>
  <c r="AJ15" i="2"/>
  <c r="AK15" i="2"/>
  <c r="AL15" i="2"/>
  <c r="AG16" i="2"/>
  <c r="AH16" i="2"/>
  <c r="AI16" i="2"/>
  <c r="AJ16" i="2"/>
  <c r="AK16" i="2"/>
  <c r="AG17" i="2"/>
  <c r="AH17" i="2"/>
  <c r="AI17" i="2"/>
  <c r="AJ17" i="2"/>
  <c r="AG18" i="2"/>
  <c r="AH18" i="2"/>
  <c r="AI18" i="2"/>
  <c r="AG19" i="2"/>
  <c r="AH19" i="2"/>
  <c r="AG20" i="2"/>
  <c r="AH6" i="2"/>
  <c r="AI6" i="2"/>
  <c r="AJ6" i="2"/>
  <c r="AK6" i="2"/>
  <c r="AL6" i="2"/>
  <c r="AM6" i="2"/>
  <c r="AN6" i="2"/>
  <c r="AO6" i="2"/>
  <c r="AP6" i="2"/>
  <c r="AQ6" i="2"/>
  <c r="AR6" i="2"/>
  <c r="AS6" i="2"/>
  <c r="AT6" i="2"/>
  <c r="AU6" i="2"/>
  <c r="AB7" i="2"/>
  <c r="AB8" i="2"/>
  <c r="AB9" i="2"/>
  <c r="AB10" i="2"/>
  <c r="AB11" i="2"/>
  <c r="AB12" i="2"/>
  <c r="AB13" i="2"/>
  <c r="AB14" i="2"/>
  <c r="AB15" i="2"/>
  <c r="AB16" i="2"/>
  <c r="AB17" i="2"/>
  <c r="AB18" i="2"/>
  <c r="AB19" i="2"/>
  <c r="AB20" i="2"/>
  <c r="AB6" i="2"/>
  <c r="AA6" i="2"/>
  <c r="O23" i="2"/>
  <c r="C23" i="2"/>
  <c r="D23" i="2"/>
  <c r="E23" i="2"/>
  <c r="F23" i="2"/>
  <c r="G23" i="2"/>
  <c r="H23" i="2"/>
  <c r="I23" i="2"/>
  <c r="J23" i="2"/>
  <c r="K23" i="2"/>
  <c r="L23" i="2"/>
  <c r="M23" i="2"/>
  <c r="N23" i="2"/>
  <c r="P23" i="2"/>
  <c r="AB175" i="2" l="1"/>
  <c r="AD6" i="2"/>
  <c r="AC175" i="2"/>
  <c r="AP123" i="2"/>
  <c r="AK85" i="2"/>
  <c r="AW6" i="2"/>
  <c r="AX6" i="2" s="1"/>
  <c r="BF6" i="2"/>
  <c r="AD18" i="2"/>
  <c r="AJ97" i="2"/>
  <c r="AG50" i="2"/>
  <c r="AH50" i="2"/>
  <c r="AI50" i="2"/>
  <c r="BE18" i="2"/>
  <c r="AD14" i="2"/>
  <c r="AJ93" i="2"/>
  <c r="AG46" i="2"/>
  <c r="AK46" i="2"/>
  <c r="AH46" i="2"/>
  <c r="AL46" i="2"/>
  <c r="AI46" i="2"/>
  <c r="AM46" i="2"/>
  <c r="AJ46" i="2"/>
  <c r="BE14" i="2"/>
  <c r="AD10" i="2"/>
  <c r="AJ89" i="2"/>
  <c r="AG42" i="2"/>
  <c r="AK42" i="2"/>
  <c r="AO42" i="2"/>
  <c r="AH42" i="2"/>
  <c r="AL42" i="2"/>
  <c r="AP42" i="2"/>
  <c r="AI42" i="2"/>
  <c r="AM42" i="2"/>
  <c r="AQ42" i="2"/>
  <c r="BE10" i="2"/>
  <c r="AJ42" i="2"/>
  <c r="AN42" i="2"/>
  <c r="AH175" i="2"/>
  <c r="AJ85" i="2"/>
  <c r="AK38" i="2"/>
  <c r="AO38" i="2"/>
  <c r="AS38" i="2"/>
  <c r="AH38" i="2"/>
  <c r="AL38" i="2"/>
  <c r="AP38" i="2"/>
  <c r="AT38" i="2"/>
  <c r="AX38" i="2"/>
  <c r="AI38" i="2"/>
  <c r="AM38" i="2"/>
  <c r="AQ38" i="2"/>
  <c r="AU38" i="2"/>
  <c r="AW38" i="2" s="1"/>
  <c r="AY38" i="2" s="1"/>
  <c r="AR38" i="2"/>
  <c r="BE6" i="2"/>
  <c r="AG38" i="2"/>
  <c r="AJ38" i="2"/>
  <c r="AN38" i="2"/>
  <c r="AD17" i="2"/>
  <c r="AJ96" i="2"/>
  <c r="AJ49" i="2"/>
  <c r="AG49" i="2"/>
  <c r="AH49" i="2"/>
  <c r="BE17" i="2"/>
  <c r="AI49" i="2"/>
  <c r="AD13" i="2"/>
  <c r="AJ92" i="2"/>
  <c r="AJ45" i="2"/>
  <c r="AN45" i="2"/>
  <c r="AG45" i="2"/>
  <c r="AK45" i="2"/>
  <c r="AH45" i="2"/>
  <c r="AL45" i="2"/>
  <c r="AI45" i="2"/>
  <c r="AM45" i="2"/>
  <c r="BE13" i="2"/>
  <c r="AD9" i="2"/>
  <c r="AJ88" i="2"/>
  <c r="AJ41" i="2"/>
  <c r="AN41" i="2"/>
  <c r="AR41" i="2"/>
  <c r="AG41" i="2"/>
  <c r="AK41" i="2"/>
  <c r="AO41" i="2"/>
  <c r="AH41" i="2"/>
  <c r="AL41" i="2"/>
  <c r="AP41" i="2"/>
  <c r="AI41" i="2"/>
  <c r="AQ41" i="2"/>
  <c r="BE9" i="2"/>
  <c r="AM41" i="2"/>
  <c r="AD20" i="2"/>
  <c r="AD175" i="2" s="1"/>
  <c r="AJ99" i="2"/>
  <c r="AG52" i="2"/>
  <c r="BE20" i="2"/>
  <c r="AD16" i="2"/>
  <c r="AJ95" i="2"/>
  <c r="AI48" i="2"/>
  <c r="AJ48" i="2"/>
  <c r="AG48" i="2"/>
  <c r="AK48" i="2"/>
  <c r="AH48" i="2"/>
  <c r="BE16" i="2"/>
  <c r="AD12" i="2"/>
  <c r="AJ91" i="2"/>
  <c r="AI44" i="2"/>
  <c r="AM44" i="2"/>
  <c r="AJ44" i="2"/>
  <c r="AN44" i="2"/>
  <c r="AG44" i="2"/>
  <c r="AK44" i="2"/>
  <c r="AO44" i="2"/>
  <c r="AH44" i="2"/>
  <c r="AL44" i="2"/>
  <c r="BE12" i="2"/>
  <c r="AD8" i="2"/>
  <c r="AJ87" i="2"/>
  <c r="AI40" i="2"/>
  <c r="AM40" i="2"/>
  <c r="AQ40" i="2"/>
  <c r="AJ40" i="2"/>
  <c r="AN40" i="2"/>
  <c r="AR40" i="2"/>
  <c r="AG40" i="2"/>
  <c r="AK40" i="2"/>
  <c r="AO40" i="2"/>
  <c r="AS40" i="2"/>
  <c r="AH40" i="2"/>
  <c r="AL40" i="2"/>
  <c r="BE8" i="2"/>
  <c r="AP40" i="2"/>
  <c r="AJ98" i="2"/>
  <c r="AH51" i="2"/>
  <c r="BE19" i="2"/>
  <c r="AG51" i="2"/>
  <c r="AJ94" i="2"/>
  <c r="AH47" i="2"/>
  <c r="AL47" i="2"/>
  <c r="AI47" i="2"/>
  <c r="AJ47" i="2"/>
  <c r="AK47" i="2"/>
  <c r="BE15" i="2"/>
  <c r="AG47" i="2"/>
  <c r="AJ90" i="2"/>
  <c r="AH43" i="2"/>
  <c r="AL43" i="2"/>
  <c r="AP43" i="2"/>
  <c r="AI43" i="2"/>
  <c r="AM43" i="2"/>
  <c r="AJ43" i="2"/>
  <c r="AN43" i="2"/>
  <c r="AG43" i="2"/>
  <c r="AK43" i="2"/>
  <c r="BE11" i="2"/>
  <c r="AO43" i="2"/>
  <c r="AJ86" i="2"/>
  <c r="AH39" i="2"/>
  <c r="AL39" i="2"/>
  <c r="AP39" i="2"/>
  <c r="AT39" i="2"/>
  <c r="AI39" i="2"/>
  <c r="AM39" i="2"/>
  <c r="AQ39" i="2"/>
  <c r="AJ39" i="2"/>
  <c r="AN39" i="2"/>
  <c r="AR39" i="2"/>
  <c r="AS39" i="2"/>
  <c r="AG39" i="2"/>
  <c r="BE7" i="2"/>
  <c r="AO39" i="2"/>
  <c r="AK39" i="2"/>
  <c r="O25" i="2"/>
  <c r="O27" i="2" s="1"/>
  <c r="AG72" i="2"/>
  <c r="AH72" i="2"/>
  <c r="AX51" i="2"/>
  <c r="AG60" i="2"/>
  <c r="AK60" i="2"/>
  <c r="AO60" i="2"/>
  <c r="AS60" i="2"/>
  <c r="AR60" i="2"/>
  <c r="AH60" i="2"/>
  <c r="AL60" i="2"/>
  <c r="AP60" i="2"/>
  <c r="AT60" i="2"/>
  <c r="AN60" i="2"/>
  <c r="AX39" i="2"/>
  <c r="AI60" i="2"/>
  <c r="AM60" i="2"/>
  <c r="AQ60" i="2"/>
  <c r="AJ60" i="2"/>
  <c r="AH71" i="2"/>
  <c r="AI71" i="2"/>
  <c r="AG71" i="2"/>
  <c r="AX50" i="2"/>
  <c r="AJ67" i="2"/>
  <c r="AG67" i="2"/>
  <c r="AK67" i="2"/>
  <c r="AM67" i="2"/>
  <c r="AH67" i="2"/>
  <c r="AL67" i="2"/>
  <c r="AX46" i="2"/>
  <c r="AI67" i="2"/>
  <c r="AH63" i="2"/>
  <c r="AL63" i="2"/>
  <c r="AP63" i="2"/>
  <c r="AI63" i="2"/>
  <c r="AM63" i="2"/>
  <c r="AQ63" i="2"/>
  <c r="AK63" i="2"/>
  <c r="AJ63" i="2"/>
  <c r="AN63" i="2"/>
  <c r="AX42" i="2"/>
  <c r="AG63" i="2"/>
  <c r="AO63" i="2"/>
  <c r="AI64" i="2"/>
  <c r="AM64" i="2"/>
  <c r="AH64" i="2"/>
  <c r="AJ64" i="2"/>
  <c r="AN64" i="2"/>
  <c r="AL64" i="2"/>
  <c r="AG64" i="2"/>
  <c r="AK64" i="2"/>
  <c r="AO64" i="2"/>
  <c r="AP64" i="2"/>
  <c r="AX43" i="2"/>
  <c r="AK59" i="2"/>
  <c r="AO59" i="2"/>
  <c r="AS59" i="2"/>
  <c r="AJ59" i="2"/>
  <c r="AG59" i="2"/>
  <c r="AH59" i="2"/>
  <c r="AL59" i="2"/>
  <c r="AP59" i="2"/>
  <c r="AT59" i="2"/>
  <c r="AN59" i="2"/>
  <c r="AI59" i="2"/>
  <c r="AM59" i="2"/>
  <c r="AQ59" i="2"/>
  <c r="AU59" i="2"/>
  <c r="AR59" i="2"/>
  <c r="AH70" i="2"/>
  <c r="AG70" i="2"/>
  <c r="AI70" i="2"/>
  <c r="AX49" i="2"/>
  <c r="AJ70" i="2"/>
  <c r="AJ66" i="2"/>
  <c r="AN66" i="2"/>
  <c r="AM66" i="2"/>
  <c r="AG66" i="2"/>
  <c r="AK66" i="2"/>
  <c r="AX45" i="2"/>
  <c r="AI66" i="2"/>
  <c r="AH66" i="2"/>
  <c r="AL66" i="2"/>
  <c r="AH62" i="2"/>
  <c r="AL62" i="2"/>
  <c r="AP62" i="2"/>
  <c r="AK62" i="2"/>
  <c r="AI62" i="2"/>
  <c r="AM62" i="2"/>
  <c r="AQ62" i="2"/>
  <c r="AX41" i="2"/>
  <c r="AO62" i="2"/>
  <c r="AJ62" i="2"/>
  <c r="AN62" i="2"/>
  <c r="AR62" i="2"/>
  <c r="AG62" i="2"/>
  <c r="AG68" i="2"/>
  <c r="AK68" i="2"/>
  <c r="AJ68" i="2"/>
  <c r="AH68" i="2"/>
  <c r="AL68" i="2"/>
  <c r="AX47" i="2"/>
  <c r="AI68" i="2"/>
  <c r="AG73" i="2"/>
  <c r="AX52" i="2"/>
  <c r="AE175" i="2" s="1"/>
  <c r="AI69" i="2"/>
  <c r="AX48" i="2"/>
  <c r="AJ69" i="2"/>
  <c r="AG69" i="2"/>
  <c r="AK69" i="2"/>
  <c r="AH69" i="2"/>
  <c r="AG65" i="2"/>
  <c r="AK65" i="2"/>
  <c r="AO65" i="2"/>
  <c r="AX44" i="2"/>
  <c r="AJ65" i="2"/>
  <c r="AH65" i="2"/>
  <c r="AL65" i="2"/>
  <c r="AI65" i="2"/>
  <c r="AM65" i="2"/>
  <c r="AN65" i="2"/>
  <c r="AI61" i="2"/>
  <c r="AM61" i="2"/>
  <c r="AQ61" i="2"/>
  <c r="AX40" i="2"/>
  <c r="AJ61" i="2"/>
  <c r="AN61" i="2"/>
  <c r="AR61" i="2"/>
  <c r="AH61" i="2"/>
  <c r="AP61" i="2"/>
  <c r="AG61" i="2"/>
  <c r="AK61" i="2"/>
  <c r="AO61" i="2"/>
  <c r="AS61" i="2"/>
  <c r="AL61" i="2"/>
  <c r="AD19" i="2"/>
  <c r="AD15" i="2"/>
  <c r="AD11" i="2"/>
  <c r="AD7" i="2"/>
  <c r="AC6" i="2"/>
  <c r="AM85" i="2" l="1"/>
  <c r="AP85" i="2"/>
  <c r="AT85" i="2" s="1"/>
  <c r="AO85" i="2"/>
  <c r="AN85" i="2"/>
  <c r="AQ85" i="2" s="1"/>
  <c r="AI175" i="2"/>
  <c r="AP160" i="2" s="1"/>
  <c r="AG160" i="2" s="1"/>
  <c r="AO160" i="2"/>
  <c r="AF160" i="2" s="1"/>
  <c r="BH7" i="2"/>
  <c r="BI7" i="2" s="1"/>
  <c r="AS94" i="2"/>
  <c r="AN94" i="2"/>
  <c r="AO94" i="2"/>
  <c r="AS91" i="2"/>
  <c r="AO91" i="2"/>
  <c r="AN91" i="2"/>
  <c r="BH20" i="2"/>
  <c r="BI20" i="2" s="1"/>
  <c r="AS99" i="2"/>
  <c r="AO99" i="2"/>
  <c r="AN99" i="2"/>
  <c r="BH13" i="2"/>
  <c r="BI13" i="2" s="1"/>
  <c r="AS92" i="2"/>
  <c r="AO92" i="2"/>
  <c r="AN92" i="2"/>
  <c r="BH17" i="2"/>
  <c r="BI17" i="2" s="1"/>
  <c r="BH11" i="2"/>
  <c r="BI11" i="2" s="1"/>
  <c r="AS98" i="2"/>
  <c r="AN98" i="2"/>
  <c r="AO98" i="2"/>
  <c r="BH12" i="2"/>
  <c r="BI12" i="2" s="1"/>
  <c r="AS85" i="2"/>
  <c r="AS93" i="2"/>
  <c r="AN93" i="2"/>
  <c r="AO93" i="2"/>
  <c r="BH18" i="2"/>
  <c r="BI18" i="2" s="1"/>
  <c r="BJ6" i="2"/>
  <c r="BG6" i="2"/>
  <c r="BH15" i="2"/>
  <c r="BI15" i="2" s="1"/>
  <c r="AS87" i="2"/>
  <c r="AO87" i="2"/>
  <c r="AN87" i="2"/>
  <c r="BH16" i="2"/>
  <c r="BI16" i="2" s="1"/>
  <c r="AS95" i="2"/>
  <c r="AO95" i="2"/>
  <c r="AN95" i="2"/>
  <c r="AS88" i="2"/>
  <c r="AN88" i="2"/>
  <c r="AO88" i="2"/>
  <c r="AS96" i="2"/>
  <c r="AO96" i="2"/>
  <c r="AN96" i="2"/>
  <c r="BH10" i="2"/>
  <c r="BI10" i="2" s="1"/>
  <c r="AS86" i="2"/>
  <c r="AO86" i="2"/>
  <c r="AN86" i="2"/>
  <c r="AS90" i="2"/>
  <c r="AO90" i="2"/>
  <c r="AN90" i="2"/>
  <c r="BH19" i="2"/>
  <c r="BI19" i="2" s="1"/>
  <c r="BH8" i="2"/>
  <c r="BI8" i="2" s="1"/>
  <c r="BH9" i="2"/>
  <c r="BI9" i="2" s="1"/>
  <c r="BH6" i="2"/>
  <c r="BI6" i="2" s="1"/>
  <c r="BL6" i="2"/>
  <c r="AS89" i="2"/>
  <c r="AO89" i="2"/>
  <c r="AN89" i="2"/>
  <c r="BH14" i="2"/>
  <c r="BI14" i="2" s="1"/>
  <c r="AS97" i="2"/>
  <c r="AN97" i="2"/>
  <c r="AO97" i="2"/>
  <c r="F70" i="2"/>
  <c r="B71" i="2"/>
  <c r="F71" i="2" s="1"/>
  <c r="T37" i="2"/>
  <c r="S38" i="2"/>
  <c r="S39" i="2"/>
  <c r="S40" i="2"/>
  <c r="S41" i="2"/>
  <c r="S42" i="2"/>
  <c r="S43" i="2"/>
  <c r="S44" i="2"/>
  <c r="S45" i="2"/>
  <c r="S46" i="2"/>
  <c r="S47" i="2"/>
  <c r="S48" i="2"/>
  <c r="S49" i="2"/>
  <c r="S50" i="2"/>
  <c r="S51" i="2"/>
  <c r="S37" i="2"/>
  <c r="C25" i="2"/>
  <c r="C27" i="2" s="1"/>
  <c r="E49" i="2"/>
  <c r="AJ50" i="2" s="1"/>
  <c r="F48" i="2"/>
  <c r="AK49" i="2" s="1"/>
  <c r="G47" i="2"/>
  <c r="AL48" i="2" s="1"/>
  <c r="G25" i="2"/>
  <c r="G27" i="2" s="1"/>
  <c r="I45" i="2"/>
  <c r="AN46" i="2" s="1"/>
  <c r="J44" i="2"/>
  <c r="AO45" i="2" s="1"/>
  <c r="J25" i="2"/>
  <c r="J27" i="2" s="1"/>
  <c r="L42" i="2"/>
  <c r="AQ43" i="2" s="1"/>
  <c r="M41" i="2"/>
  <c r="AR42" i="2" s="1"/>
  <c r="N40" i="2"/>
  <c r="AS41" i="2" s="1"/>
  <c r="N25" i="2"/>
  <c r="N27" i="2" s="1"/>
  <c r="P38" i="2"/>
  <c r="AU39" i="2" s="1"/>
  <c r="P25" i="2"/>
  <c r="P27" i="2" s="1"/>
  <c r="B23" i="2"/>
  <c r="C51" i="2" s="1"/>
  <c r="AH52" i="2" s="1"/>
  <c r="O30" i="1"/>
  <c r="O19" i="1"/>
  <c r="O13" i="1"/>
  <c r="AL95" i="2" l="1"/>
  <c r="AL87" i="2"/>
  <c r="AL92" i="2"/>
  <c r="AL99" i="2"/>
  <c r="AL91" i="2"/>
  <c r="AR85" i="2"/>
  <c r="AL96" i="2"/>
  <c r="AL97" i="2"/>
  <c r="AL98" i="2"/>
  <c r="AL89" i="2"/>
  <c r="AL86" i="2"/>
  <c r="AL88" i="2"/>
  <c r="AL85" i="2"/>
  <c r="BK6" i="2"/>
  <c r="AL90" i="2"/>
  <c r="AL93" i="2"/>
  <c r="AL94" i="2"/>
  <c r="N41" i="2"/>
  <c r="AS42" i="2" s="1"/>
  <c r="AR63" i="2"/>
  <c r="AR10" i="2"/>
  <c r="H47" i="2"/>
  <c r="AM48" i="2" s="1"/>
  <c r="AL69" i="2"/>
  <c r="AL16" i="2"/>
  <c r="D51" i="2"/>
  <c r="AI52" i="2" s="1"/>
  <c r="AH73" i="2"/>
  <c r="AH20" i="2"/>
  <c r="O40" i="2"/>
  <c r="AT41" i="2" s="1"/>
  <c r="AS62" i="2"/>
  <c r="AS9" i="2"/>
  <c r="K44" i="2"/>
  <c r="AP45" i="2" s="1"/>
  <c r="AO66" i="2"/>
  <c r="AO13" i="2"/>
  <c r="G48" i="2"/>
  <c r="AL49" i="2" s="1"/>
  <c r="AK70" i="2"/>
  <c r="AK17" i="2"/>
  <c r="J45" i="2"/>
  <c r="AO46" i="2" s="1"/>
  <c r="AN67" i="2"/>
  <c r="AN14" i="2"/>
  <c r="F49" i="2"/>
  <c r="AK50" i="2" s="1"/>
  <c r="AJ71" i="2"/>
  <c r="AJ18" i="2"/>
  <c r="T38" i="2"/>
  <c r="C58" i="2" s="1"/>
  <c r="E58" i="2" s="1"/>
  <c r="D58" i="2" s="1"/>
  <c r="G58" i="2" s="1"/>
  <c r="AU60" i="2"/>
  <c r="AU7" i="2"/>
  <c r="AA7" i="2"/>
  <c r="M42" i="2"/>
  <c r="AR43" i="2" s="1"/>
  <c r="AQ64" i="2"/>
  <c r="AQ11" i="2"/>
  <c r="C57" i="2"/>
  <c r="E57" i="2" s="1"/>
  <c r="D57" i="2" s="1"/>
  <c r="G57" i="2" s="1"/>
  <c r="U38" i="2"/>
  <c r="K58" i="2" s="1"/>
  <c r="B25" i="2"/>
  <c r="B27" i="2" s="1"/>
  <c r="M25" i="2"/>
  <c r="M27" i="2" s="1"/>
  <c r="I25" i="2"/>
  <c r="I27" i="2" s="1"/>
  <c r="E25" i="2"/>
  <c r="E27" i="2" s="1"/>
  <c r="D50" i="2"/>
  <c r="AI51" i="2" s="1"/>
  <c r="H46" i="2"/>
  <c r="AM47" i="2" s="1"/>
  <c r="K43" i="2"/>
  <c r="AP44" i="2" s="1"/>
  <c r="L25" i="2"/>
  <c r="L27" i="2" s="1"/>
  <c r="H25" i="2"/>
  <c r="H27" i="2" s="1"/>
  <c r="D25" i="2"/>
  <c r="D27" i="2" s="1"/>
  <c r="O39" i="2"/>
  <c r="AT40" i="2" s="1"/>
  <c r="K25" i="2"/>
  <c r="K27" i="2" s="1"/>
  <c r="F25" i="2"/>
  <c r="F27" i="2" s="1"/>
  <c r="U37" i="2"/>
  <c r="K57" i="2" s="1"/>
  <c r="O11" i="1"/>
  <c r="R4" i="2"/>
  <c r="R5" i="2"/>
  <c r="R6" i="2"/>
  <c r="R7" i="2"/>
  <c r="R8" i="2"/>
  <c r="R9" i="2"/>
  <c r="R10" i="2"/>
  <c r="R11" i="2"/>
  <c r="R12" i="2"/>
  <c r="R13" i="2"/>
  <c r="R14" i="2"/>
  <c r="R15" i="2"/>
  <c r="R16" i="2"/>
  <c r="R17" i="2"/>
  <c r="R3" i="2"/>
  <c r="AG79" i="2" l="1"/>
  <c r="AK86" i="2"/>
  <c r="BF7" i="2"/>
  <c r="P39" i="2"/>
  <c r="AU40" i="2" s="1"/>
  <c r="AT61" i="2"/>
  <c r="AT8" i="2"/>
  <c r="L43" i="2"/>
  <c r="AQ44" i="2" s="1"/>
  <c r="AP65" i="2"/>
  <c r="AP12" i="2"/>
  <c r="I46" i="2"/>
  <c r="AN47" i="2" s="1"/>
  <c r="AM68" i="2"/>
  <c r="AM15" i="2"/>
  <c r="E50" i="2"/>
  <c r="AJ51" i="2" s="1"/>
  <c r="AI72" i="2"/>
  <c r="AI19" i="2"/>
  <c r="N42" i="2"/>
  <c r="AS43" i="2" s="1"/>
  <c r="AR64" i="2"/>
  <c r="AR11" i="2"/>
  <c r="AW39" i="2"/>
  <c r="AY39" i="2" s="1"/>
  <c r="AW7" i="2"/>
  <c r="AX7" i="2" s="1"/>
  <c r="AC7" i="2"/>
  <c r="G49" i="2"/>
  <c r="AL50" i="2" s="1"/>
  <c r="AK71" i="2"/>
  <c r="AK18" i="2"/>
  <c r="K45" i="2"/>
  <c r="AP46" i="2" s="1"/>
  <c r="AO67" i="2"/>
  <c r="AO14" i="2"/>
  <c r="H48" i="2"/>
  <c r="AM49" i="2" s="1"/>
  <c r="AL70" i="2"/>
  <c r="AL17" i="2"/>
  <c r="L44" i="2"/>
  <c r="AQ45" i="2" s="1"/>
  <c r="AP66" i="2"/>
  <c r="AP13" i="2"/>
  <c r="P40" i="2"/>
  <c r="AU41" i="2" s="1"/>
  <c r="AT62" i="2"/>
  <c r="AT9" i="2"/>
  <c r="E51" i="2"/>
  <c r="AJ52" i="2" s="1"/>
  <c r="AI73" i="2"/>
  <c r="AI20" i="2"/>
  <c r="I47" i="2"/>
  <c r="AN48" i="2" s="1"/>
  <c r="AM69" i="2"/>
  <c r="AM16" i="2"/>
  <c r="O41" i="2"/>
  <c r="AT42" i="2" s="1"/>
  <c r="AS63" i="2"/>
  <c r="AS10" i="2"/>
  <c r="S12" i="2"/>
  <c r="L66" i="2" s="1"/>
  <c r="S17" i="2"/>
  <c r="L71" i="2" s="1"/>
  <c r="S13" i="2"/>
  <c r="L67" i="2" s="1"/>
  <c r="S14" i="2"/>
  <c r="L68" i="2" s="1"/>
  <c r="S15" i="2"/>
  <c r="L69" i="2" s="1"/>
  <c r="S16" i="2"/>
  <c r="L70" i="2" s="1"/>
  <c r="AB134" i="2" l="1"/>
  <c r="AG23" i="2"/>
  <c r="AH79" i="2"/>
  <c r="BJ7" i="2"/>
  <c r="BK7" i="2" s="1"/>
  <c r="BG7" i="2"/>
  <c r="BL7" i="2"/>
  <c r="AQ86" i="2"/>
  <c r="AM86" i="2"/>
  <c r="AR86" i="2"/>
  <c r="AP86" i="2"/>
  <c r="AT86" i="2" s="1"/>
  <c r="O42" i="2"/>
  <c r="AT43" i="2" s="1"/>
  <c r="AS64" i="2"/>
  <c r="AS11" i="2"/>
  <c r="F50" i="2"/>
  <c r="AK51" i="2" s="1"/>
  <c r="AJ72" i="2"/>
  <c r="AJ19" i="2"/>
  <c r="J46" i="2"/>
  <c r="AO47" i="2" s="1"/>
  <c r="AN68" i="2"/>
  <c r="AN15" i="2"/>
  <c r="P41" i="2"/>
  <c r="AU42" i="2" s="1"/>
  <c r="AT63" i="2"/>
  <c r="AT10" i="2"/>
  <c r="J47" i="2"/>
  <c r="AO48" i="2" s="1"/>
  <c r="AN69" i="2"/>
  <c r="AN16" i="2"/>
  <c r="F51" i="2"/>
  <c r="AK52" i="2" s="1"/>
  <c r="AJ73" i="2"/>
  <c r="AJ20" i="2"/>
  <c r="T40" i="2"/>
  <c r="AU62" i="2"/>
  <c r="AU9" i="2"/>
  <c r="AA9" i="2"/>
  <c r="M44" i="2"/>
  <c r="AR45" i="2" s="1"/>
  <c r="AQ66" i="2"/>
  <c r="AQ13" i="2"/>
  <c r="I48" i="2"/>
  <c r="AN49" i="2" s="1"/>
  <c r="AM70" i="2"/>
  <c r="AM17" i="2"/>
  <c r="L45" i="2"/>
  <c r="AQ46" i="2" s="1"/>
  <c r="AP67" i="2"/>
  <c r="AP14" i="2"/>
  <c r="H49" i="2"/>
  <c r="AM50" i="2" s="1"/>
  <c r="AL71" i="2"/>
  <c r="AL18" i="2"/>
  <c r="M43" i="2"/>
  <c r="AR44" i="2" s="1"/>
  <c r="AQ65" i="2"/>
  <c r="AQ12" i="2"/>
  <c r="T39" i="2"/>
  <c r="AU61" i="2"/>
  <c r="AA8" i="2"/>
  <c r="AU8" i="2"/>
  <c r="S11" i="2"/>
  <c r="L65" i="2" s="1"/>
  <c r="S10" i="2"/>
  <c r="L64" i="2" s="1"/>
  <c r="S3" i="2"/>
  <c r="L57" i="2" s="1"/>
  <c r="M57" i="2" s="1"/>
  <c r="S7" i="2"/>
  <c r="L61" i="2" s="1"/>
  <c r="AB123" i="2" l="1"/>
  <c r="AC134" i="2"/>
  <c r="AI79" i="2"/>
  <c r="AK87" i="2"/>
  <c r="BF8" i="2"/>
  <c r="AK88" i="2"/>
  <c r="BF9" i="2"/>
  <c r="AH23" i="2"/>
  <c r="I49" i="2"/>
  <c r="AN50" i="2" s="1"/>
  <c r="AM71" i="2"/>
  <c r="AM18" i="2"/>
  <c r="N44" i="2"/>
  <c r="AS45" i="2" s="1"/>
  <c r="AR66" i="2"/>
  <c r="AR13" i="2"/>
  <c r="U39" i="2"/>
  <c r="C59" i="2"/>
  <c r="E59" i="2" s="1"/>
  <c r="D59" i="2" s="1"/>
  <c r="G59" i="2" s="1"/>
  <c r="N43" i="2"/>
  <c r="AS44" i="2" s="1"/>
  <c r="AR65" i="2"/>
  <c r="AR12" i="2"/>
  <c r="M45" i="2"/>
  <c r="AR46" i="2" s="1"/>
  <c r="AQ67" i="2"/>
  <c r="AQ14" i="2"/>
  <c r="J48" i="2"/>
  <c r="AO49" i="2" s="1"/>
  <c r="AN70" i="2"/>
  <c r="AN17" i="2"/>
  <c r="AW40" i="2"/>
  <c r="AY40" i="2" s="1"/>
  <c r="AW8" i="2"/>
  <c r="AX8" i="2" s="1"/>
  <c r="AC8" i="2"/>
  <c r="AW41" i="2"/>
  <c r="AY41" i="2" s="1"/>
  <c r="AC9" i="2"/>
  <c r="AW9" i="2"/>
  <c r="AX9" i="2" s="1"/>
  <c r="U40" i="2"/>
  <c r="K60" i="2" s="1"/>
  <c r="C60" i="2"/>
  <c r="E60" i="2" s="1"/>
  <c r="D60" i="2" s="1"/>
  <c r="G60" i="2" s="1"/>
  <c r="G51" i="2"/>
  <c r="AL52" i="2" s="1"/>
  <c r="AK73" i="2"/>
  <c r="AK20" i="2"/>
  <c r="K47" i="2"/>
  <c r="AP48" i="2" s="1"/>
  <c r="AO69" i="2"/>
  <c r="AO16" i="2"/>
  <c r="T41" i="2"/>
  <c r="AU63" i="2"/>
  <c r="AU10" i="2"/>
  <c r="AA10" i="2"/>
  <c r="K46" i="2"/>
  <c r="AP47" i="2" s="1"/>
  <c r="AO68" i="2"/>
  <c r="AO15" i="2"/>
  <c r="G50" i="2"/>
  <c r="AL51" i="2" s="1"/>
  <c r="AK72" i="2"/>
  <c r="AK19" i="2"/>
  <c r="P42" i="2"/>
  <c r="AU43" i="2" s="1"/>
  <c r="AT64" i="2"/>
  <c r="AT11" i="2"/>
  <c r="S9" i="2"/>
  <c r="L63" i="2" s="1"/>
  <c r="S5" i="2"/>
  <c r="L59" i="2" s="1"/>
  <c r="S8" i="2"/>
  <c r="L62" i="2" s="1"/>
  <c r="AT87" i="2" l="1"/>
  <c r="AD134" i="2"/>
  <c r="AC123" i="2"/>
  <c r="AJ79" i="2"/>
  <c r="AI23" i="2"/>
  <c r="AK89" i="2"/>
  <c r="BF10" i="2"/>
  <c r="BG9" i="2"/>
  <c r="BJ9" i="2"/>
  <c r="BK9" i="2" s="1"/>
  <c r="BL9" i="2"/>
  <c r="AM87" i="2"/>
  <c r="AR87" i="2"/>
  <c r="AQ87" i="2"/>
  <c r="AP87" i="2"/>
  <c r="AR88" i="2"/>
  <c r="AQ88" i="2"/>
  <c r="AM88" i="2"/>
  <c r="AP88" i="2"/>
  <c r="AT88" i="2" s="1"/>
  <c r="BJ8" i="2"/>
  <c r="BK8" i="2" s="1"/>
  <c r="BG8" i="2"/>
  <c r="BL8" i="2"/>
  <c r="H50" i="2"/>
  <c r="AM51" i="2" s="1"/>
  <c r="AL72" i="2"/>
  <c r="AL19" i="2"/>
  <c r="K59" i="2"/>
  <c r="M59" i="2" s="1"/>
  <c r="T42" i="2"/>
  <c r="AU64" i="2"/>
  <c r="AU11" i="2"/>
  <c r="AA11" i="2"/>
  <c r="L46" i="2"/>
  <c r="AQ47" i="2" s="1"/>
  <c r="AP68" i="2"/>
  <c r="AP15" i="2"/>
  <c r="AW42" i="2"/>
  <c r="AY42" i="2" s="1"/>
  <c r="AC10" i="2"/>
  <c r="AW10" i="2"/>
  <c r="AX10" i="2" s="1"/>
  <c r="C61" i="2"/>
  <c r="E61" i="2" s="1"/>
  <c r="D61" i="2" s="1"/>
  <c r="G61" i="2" s="1"/>
  <c r="U41" i="2"/>
  <c r="K61" i="2" s="1"/>
  <c r="M61" i="2" s="1"/>
  <c r="L47" i="2"/>
  <c r="AQ48" i="2" s="1"/>
  <c r="AP69" i="2"/>
  <c r="AP16" i="2"/>
  <c r="H51" i="2"/>
  <c r="AM52" i="2" s="1"/>
  <c r="AL73" i="2"/>
  <c r="AL20" i="2"/>
  <c r="O44" i="2"/>
  <c r="AT45" i="2" s="1"/>
  <c r="AS66" i="2"/>
  <c r="AS13" i="2"/>
  <c r="J49" i="2"/>
  <c r="AO50" i="2" s="1"/>
  <c r="AN71" i="2"/>
  <c r="AN18" i="2"/>
  <c r="K48" i="2"/>
  <c r="AP49" i="2" s="1"/>
  <c r="AO70" i="2"/>
  <c r="AO17" i="2"/>
  <c r="N45" i="2"/>
  <c r="AS46" i="2" s="1"/>
  <c r="AR67" i="2"/>
  <c r="AR14" i="2"/>
  <c r="O43" i="2"/>
  <c r="AT44" i="2" s="1"/>
  <c r="AS65" i="2"/>
  <c r="AS12" i="2"/>
  <c r="S4" i="2"/>
  <c r="L58" i="2" s="1"/>
  <c r="M58" i="2" s="1"/>
  <c r="S6" i="2"/>
  <c r="L60" i="2" s="1"/>
  <c r="M60" i="2" s="1"/>
  <c r="AE134" i="2" l="1"/>
  <c r="AD123" i="2"/>
  <c r="AK79" i="2"/>
  <c r="AK90" i="2"/>
  <c r="BF11" i="2"/>
  <c r="BG10" i="2"/>
  <c r="BJ10" i="2"/>
  <c r="BK10" i="2" s="1"/>
  <c r="BL10" i="2"/>
  <c r="AQ89" i="2"/>
  <c r="AM89" i="2"/>
  <c r="AR89" i="2"/>
  <c r="AP89" i="2"/>
  <c r="AT89" i="2" s="1"/>
  <c r="AJ23" i="2"/>
  <c r="K49" i="2"/>
  <c r="AP50" i="2" s="1"/>
  <c r="AO71" i="2"/>
  <c r="AO18" i="2"/>
  <c r="P44" i="2"/>
  <c r="AU45" i="2" s="1"/>
  <c r="AT66" i="2"/>
  <c r="AT13" i="2"/>
  <c r="I51" i="2"/>
  <c r="AN52" i="2" s="1"/>
  <c r="AM73" i="2"/>
  <c r="AM20" i="2"/>
  <c r="M47" i="2"/>
  <c r="AR48" i="2" s="1"/>
  <c r="AQ69" i="2"/>
  <c r="AQ16" i="2"/>
  <c r="I50" i="2"/>
  <c r="AN51" i="2" s="1"/>
  <c r="AM72" i="2"/>
  <c r="AM19" i="2"/>
  <c r="M46" i="2"/>
  <c r="AR47" i="2" s="1"/>
  <c r="AQ68" i="2"/>
  <c r="AQ15" i="2"/>
  <c r="P43" i="2"/>
  <c r="AU44" i="2" s="1"/>
  <c r="AT65" i="2"/>
  <c r="AT12" i="2"/>
  <c r="O45" i="2"/>
  <c r="AT46" i="2" s="1"/>
  <c r="AS67" i="2"/>
  <c r="AS14" i="2"/>
  <c r="L48" i="2"/>
  <c r="AQ49" i="2" s="1"/>
  <c r="AP70" i="2"/>
  <c r="AP17" i="2"/>
  <c r="AW43" i="2"/>
  <c r="AY43" i="2" s="1"/>
  <c r="AW11" i="2"/>
  <c r="AX11" i="2" s="1"/>
  <c r="AC11" i="2"/>
  <c r="U42" i="2"/>
  <c r="C62" i="2"/>
  <c r="E62" i="2" s="1"/>
  <c r="D62" i="2" s="1"/>
  <c r="G62" i="2" s="1"/>
  <c r="AF134" i="2" l="1"/>
  <c r="AE123" i="2"/>
  <c r="BJ11" i="2"/>
  <c r="BK11" i="2" s="1"/>
  <c r="BG11" i="2"/>
  <c r="BL11" i="2"/>
  <c r="AL79" i="2"/>
  <c r="AQ90" i="2"/>
  <c r="AM90" i="2"/>
  <c r="AR90" i="2"/>
  <c r="AP90" i="2"/>
  <c r="AT90" i="2" s="1"/>
  <c r="AK23" i="2"/>
  <c r="K62" i="2"/>
  <c r="M62" i="2" s="1"/>
  <c r="N47" i="2"/>
  <c r="AS48" i="2" s="1"/>
  <c r="AR69" i="2"/>
  <c r="AR16" i="2"/>
  <c r="J51" i="2"/>
  <c r="AO52" i="2" s="1"/>
  <c r="AN73" i="2"/>
  <c r="AN20" i="2"/>
  <c r="T44" i="2"/>
  <c r="AU66" i="2"/>
  <c r="AU13" i="2"/>
  <c r="AA13" i="2"/>
  <c r="M48" i="2"/>
  <c r="AR49" i="2" s="1"/>
  <c r="AQ70" i="2"/>
  <c r="AQ17" i="2"/>
  <c r="P45" i="2"/>
  <c r="AU46" i="2" s="1"/>
  <c r="AT67" i="2"/>
  <c r="AT14" i="2"/>
  <c r="T43" i="2"/>
  <c r="AU65" i="2"/>
  <c r="AA12" i="2"/>
  <c r="AU12" i="2"/>
  <c r="N46" i="2"/>
  <c r="AS47" i="2" s="1"/>
  <c r="AR68" i="2"/>
  <c r="AR15" i="2"/>
  <c r="J50" i="2"/>
  <c r="AO51" i="2" s="1"/>
  <c r="AN72" i="2"/>
  <c r="AN19" i="2"/>
  <c r="L49" i="2"/>
  <c r="AQ50" i="2" s="1"/>
  <c r="AP71" i="2"/>
  <c r="AP18" i="2"/>
  <c r="AG134" i="2" l="1"/>
  <c r="AF123" i="2"/>
  <c r="AL23" i="2"/>
  <c r="AM79" i="2"/>
  <c r="AK91" i="2"/>
  <c r="BF12" i="2"/>
  <c r="AK92" i="2"/>
  <c r="BF13" i="2"/>
  <c r="U43" i="2"/>
  <c r="C63" i="2"/>
  <c r="E63" i="2" s="1"/>
  <c r="D63" i="2" s="1"/>
  <c r="G63" i="2" s="1"/>
  <c r="N48" i="2"/>
  <c r="AS49" i="2" s="1"/>
  <c r="AR70" i="2"/>
  <c r="AR17" i="2"/>
  <c r="AW44" i="2"/>
  <c r="AY44" i="2" s="1"/>
  <c r="AW12" i="2"/>
  <c r="AX12" i="2" s="1"/>
  <c r="AC12" i="2"/>
  <c r="AW45" i="2"/>
  <c r="AY45" i="2" s="1"/>
  <c r="AC13" i="2"/>
  <c r="AW13" i="2"/>
  <c r="AX13" i="2" s="1"/>
  <c r="U44" i="2"/>
  <c r="K64" i="2" s="1"/>
  <c r="M64" i="2" s="1"/>
  <c r="C64" i="2"/>
  <c r="E64" i="2" s="1"/>
  <c r="D64" i="2" s="1"/>
  <c r="G64" i="2" s="1"/>
  <c r="K51" i="2"/>
  <c r="AP52" i="2" s="1"/>
  <c r="AO73" i="2"/>
  <c r="AO20" i="2"/>
  <c r="O47" i="2"/>
  <c r="AT48" i="2" s="1"/>
  <c r="AS69" i="2"/>
  <c r="AS16" i="2"/>
  <c r="M49" i="2"/>
  <c r="AR50" i="2" s="1"/>
  <c r="AQ71" i="2"/>
  <c r="AQ18" i="2"/>
  <c r="K50" i="2"/>
  <c r="AP51" i="2" s="1"/>
  <c r="AO72" i="2"/>
  <c r="AO19" i="2"/>
  <c r="O46" i="2"/>
  <c r="AT47" i="2" s="1"/>
  <c r="AS68" i="2"/>
  <c r="AS15" i="2"/>
  <c r="T45" i="2"/>
  <c r="AU67" i="2"/>
  <c r="AU14" i="2"/>
  <c r="AA14" i="2"/>
  <c r="AT91" i="2" l="1"/>
  <c r="AH134" i="2"/>
  <c r="AG123" i="2"/>
  <c r="AN79" i="2"/>
  <c r="BG13" i="2"/>
  <c r="BJ13" i="2"/>
  <c r="BK13" i="2" s="1"/>
  <c r="BL13" i="2"/>
  <c r="AR92" i="2"/>
  <c r="AQ92" i="2"/>
  <c r="AM92" i="2"/>
  <c r="AP92" i="2"/>
  <c r="AT92" i="2" s="1"/>
  <c r="AK93" i="2"/>
  <c r="BF14" i="2"/>
  <c r="BJ12" i="2"/>
  <c r="BK12" i="2" s="1"/>
  <c r="BG12" i="2"/>
  <c r="BL12" i="2"/>
  <c r="AR91" i="2"/>
  <c r="AM91" i="2"/>
  <c r="AQ91" i="2"/>
  <c r="AP91" i="2"/>
  <c r="AM23" i="2"/>
  <c r="AW46" i="2"/>
  <c r="AY46" i="2" s="1"/>
  <c r="AC14" i="2"/>
  <c r="AW14" i="2"/>
  <c r="AX14" i="2" s="1"/>
  <c r="U45" i="2"/>
  <c r="K65" i="2" s="1"/>
  <c r="M65" i="2" s="1"/>
  <c r="C65" i="2"/>
  <c r="E65" i="2" s="1"/>
  <c r="D65" i="2" s="1"/>
  <c r="G65" i="2" s="1"/>
  <c r="L50" i="2"/>
  <c r="AQ51" i="2" s="1"/>
  <c r="AP72" i="2"/>
  <c r="AP19" i="2"/>
  <c r="N49" i="2"/>
  <c r="AS50" i="2" s="1"/>
  <c r="AR71" i="2"/>
  <c r="AR18" i="2"/>
  <c r="L51" i="2"/>
  <c r="AQ52" i="2" s="1"/>
  <c r="AP73" i="2"/>
  <c r="AP20" i="2"/>
  <c r="O48" i="2"/>
  <c r="AT49" i="2" s="1"/>
  <c r="AS70" i="2"/>
  <c r="AS17" i="2"/>
  <c r="P46" i="2"/>
  <c r="AU47" i="2" s="1"/>
  <c r="AT68" i="2"/>
  <c r="AT15" i="2"/>
  <c r="P47" i="2"/>
  <c r="AU48" i="2" s="1"/>
  <c r="AT69" i="2"/>
  <c r="AT16" i="2"/>
  <c r="K63" i="2"/>
  <c r="M63" i="2" s="1"/>
  <c r="AI134" i="2" l="1"/>
  <c r="AH123" i="2"/>
  <c r="AO79" i="2"/>
  <c r="BG14" i="2"/>
  <c r="BJ14" i="2"/>
  <c r="BK14" i="2" s="1"/>
  <c r="BL14" i="2"/>
  <c r="AR93" i="2"/>
  <c r="AQ93" i="2"/>
  <c r="AM93" i="2"/>
  <c r="AP93" i="2"/>
  <c r="AT93" i="2" s="1"/>
  <c r="AN23" i="2"/>
  <c r="T47" i="2"/>
  <c r="AU69" i="2"/>
  <c r="AA16" i="2"/>
  <c r="AU16" i="2"/>
  <c r="T46" i="2"/>
  <c r="AU68" i="2"/>
  <c r="AU15" i="2"/>
  <c r="AA15" i="2"/>
  <c r="P48" i="2"/>
  <c r="AU49" i="2" s="1"/>
  <c r="AT70" i="2"/>
  <c r="AT17" i="2"/>
  <c r="M51" i="2"/>
  <c r="AR52" i="2" s="1"/>
  <c r="AQ73" i="2"/>
  <c r="AQ20" i="2"/>
  <c r="O49" i="2"/>
  <c r="AT50" i="2" s="1"/>
  <c r="AS71" i="2"/>
  <c r="AS18" i="2"/>
  <c r="M50" i="2"/>
  <c r="AR51" i="2" s="1"/>
  <c r="AP79" i="2" s="1"/>
  <c r="AQ72" i="2"/>
  <c r="AQ19" i="2"/>
  <c r="AJ134" i="2" l="1"/>
  <c r="AK134" i="2"/>
  <c r="AI123" i="2"/>
  <c r="AO23" i="2"/>
  <c r="AK94" i="2"/>
  <c r="BF15" i="2"/>
  <c r="AK95" i="2"/>
  <c r="BF16" i="2"/>
  <c r="AW48" i="2"/>
  <c r="AY48" i="2" s="1"/>
  <c r="AW16" i="2"/>
  <c r="AX16" i="2" s="1"/>
  <c r="AC16" i="2"/>
  <c r="N50" i="2"/>
  <c r="AS51" i="2" s="1"/>
  <c r="AQ79" i="2" s="1"/>
  <c r="AR72" i="2"/>
  <c r="AR19" i="2"/>
  <c r="AP23" i="2" s="1"/>
  <c r="P49" i="2"/>
  <c r="AU50" i="2" s="1"/>
  <c r="AT71" i="2"/>
  <c r="AT18" i="2"/>
  <c r="N51" i="2"/>
  <c r="AS52" i="2" s="1"/>
  <c r="AR73" i="2"/>
  <c r="AR20" i="2"/>
  <c r="T48" i="2"/>
  <c r="AU70" i="2"/>
  <c r="AU17" i="2"/>
  <c r="AA17" i="2"/>
  <c r="AW47" i="2"/>
  <c r="AY47" i="2" s="1"/>
  <c r="AW15" i="2"/>
  <c r="AX15" i="2" s="1"/>
  <c r="AC15" i="2"/>
  <c r="U46" i="2"/>
  <c r="C66" i="2"/>
  <c r="E66" i="2" s="1"/>
  <c r="D66" i="2" s="1"/>
  <c r="G66" i="2" s="1"/>
  <c r="C67" i="2"/>
  <c r="E67" i="2" s="1"/>
  <c r="D67" i="2" s="1"/>
  <c r="G67" i="2" s="1"/>
  <c r="U47" i="2"/>
  <c r="K67" i="2" s="1"/>
  <c r="M67" i="2" s="1"/>
  <c r="AL134" i="2" l="1"/>
  <c r="AJ123" i="2"/>
  <c r="AK123" i="2"/>
  <c r="AQ95" i="2"/>
  <c r="AR95" i="2"/>
  <c r="AM95" i="2"/>
  <c r="AP95" i="2"/>
  <c r="AT95" i="2" s="1"/>
  <c r="BJ15" i="2"/>
  <c r="BK15" i="2" s="1"/>
  <c r="BG15" i="2"/>
  <c r="BL15" i="2"/>
  <c r="AQ94" i="2"/>
  <c r="AM94" i="2"/>
  <c r="AR94" i="2"/>
  <c r="AP94" i="2"/>
  <c r="AT94" i="2" s="1"/>
  <c r="AK96" i="2"/>
  <c r="BF17" i="2"/>
  <c r="BJ16" i="2"/>
  <c r="BK16" i="2" s="1"/>
  <c r="BG16" i="2"/>
  <c r="BL16" i="2"/>
  <c r="AW49" i="2"/>
  <c r="AY49" i="2" s="1"/>
  <c r="AC17" i="2"/>
  <c r="AW17" i="2"/>
  <c r="AX17" i="2" s="1"/>
  <c r="U48" i="2"/>
  <c r="K68" i="2" s="1"/>
  <c r="M68" i="2" s="1"/>
  <c r="C68" i="2"/>
  <c r="E68" i="2" s="1"/>
  <c r="D68" i="2" s="1"/>
  <c r="G68" i="2" s="1"/>
  <c r="O51" i="2"/>
  <c r="AT52" i="2" s="1"/>
  <c r="AS73" i="2"/>
  <c r="AS20" i="2"/>
  <c r="T49" i="2"/>
  <c r="AU71" i="2"/>
  <c r="AU18" i="2"/>
  <c r="AA18" i="2"/>
  <c r="O50" i="2"/>
  <c r="AT51" i="2" s="1"/>
  <c r="AR79" i="2" s="1"/>
  <c r="AS72" i="2"/>
  <c r="AS19" i="2"/>
  <c r="AQ23" i="2" s="1"/>
  <c r="K66" i="2"/>
  <c r="M66" i="2" s="1"/>
  <c r="AM134" i="2" l="1"/>
  <c r="AL123" i="2"/>
  <c r="AK97" i="2"/>
  <c r="BF18" i="2"/>
  <c r="BG17" i="2"/>
  <c r="BJ17" i="2"/>
  <c r="BK17" i="2" s="1"/>
  <c r="BL17" i="2"/>
  <c r="AR96" i="2"/>
  <c r="AQ96" i="2"/>
  <c r="AM96" i="2"/>
  <c r="AP96" i="2"/>
  <c r="AT96" i="2" s="1"/>
  <c r="P50" i="2"/>
  <c r="AU51" i="2" s="1"/>
  <c r="AS79" i="2" s="1"/>
  <c r="AT72" i="2"/>
  <c r="AT19" i="2"/>
  <c r="AR23" i="2" s="1"/>
  <c r="AW50" i="2"/>
  <c r="AY50" i="2" s="1"/>
  <c r="AC18" i="2"/>
  <c r="AW18" i="2"/>
  <c r="AX18" i="2" s="1"/>
  <c r="C69" i="2"/>
  <c r="E69" i="2" s="1"/>
  <c r="D69" i="2" s="1"/>
  <c r="G69" i="2" s="1"/>
  <c r="U49" i="2"/>
  <c r="P51" i="2"/>
  <c r="AU52" i="2" s="1"/>
  <c r="AT79" i="2" s="1"/>
  <c r="AT73" i="2"/>
  <c r="AT20" i="2"/>
  <c r="AV79" i="2" l="1"/>
  <c r="AO134" i="2"/>
  <c r="AN134" i="2"/>
  <c r="AM123" i="2"/>
  <c r="BG18" i="2"/>
  <c r="BJ18" i="2"/>
  <c r="BK18" i="2" s="1"/>
  <c r="BL18" i="2"/>
  <c r="AQ97" i="2"/>
  <c r="AM97" i="2"/>
  <c r="AR97" i="2"/>
  <c r="AP97" i="2"/>
  <c r="AT97" i="2" s="1"/>
  <c r="T51" i="2"/>
  <c r="AU73" i="2"/>
  <c r="AA20" i="2"/>
  <c r="AU20" i="2"/>
  <c r="AT23" i="2" s="1"/>
  <c r="K69" i="2"/>
  <c r="M69" i="2" s="1"/>
  <c r="T50" i="2"/>
  <c r="AU72" i="2"/>
  <c r="AU19" i="2"/>
  <c r="AS23" i="2" s="1"/>
  <c r="AA19" i="2"/>
  <c r="AQ134" i="2" l="1"/>
  <c r="AN123" i="2"/>
  <c r="AO123" i="2"/>
  <c r="AK98" i="2"/>
  <c r="BF19" i="2"/>
  <c r="AV23" i="2"/>
  <c r="AK99" i="2"/>
  <c r="BF20" i="2"/>
  <c r="AW52" i="2"/>
  <c r="AY52" i="2" s="1"/>
  <c r="AW20" i="2"/>
  <c r="AX20" i="2" s="1"/>
  <c r="AC20" i="2"/>
  <c r="AW51" i="2"/>
  <c r="AY51" i="2" s="1"/>
  <c r="AW19" i="2"/>
  <c r="AX19" i="2" s="1"/>
  <c r="AC19" i="2"/>
  <c r="U50" i="2"/>
  <c r="C70" i="2"/>
  <c r="E70" i="2" s="1"/>
  <c r="D70" i="2" s="1"/>
  <c r="U51" i="2"/>
  <c r="C71" i="2"/>
  <c r="E71" i="2" s="1"/>
  <c r="D71" i="2" s="1"/>
  <c r="AQ123" i="2" l="1"/>
  <c r="AH27" i="2"/>
  <c r="AM99" i="2"/>
  <c r="AR99" i="2"/>
  <c r="AQ99" i="2"/>
  <c r="AP99" i="2"/>
  <c r="AT99" i="2" s="1"/>
  <c r="BJ19" i="2"/>
  <c r="BK19" i="2" s="1"/>
  <c r="BG19" i="2"/>
  <c r="BL19" i="2"/>
  <c r="BJ20" i="2"/>
  <c r="BK20" i="2" s="1"/>
  <c r="BG20" i="2"/>
  <c r="BL20" i="2"/>
  <c r="AQ98" i="2"/>
  <c r="AM98" i="2"/>
  <c r="AR98" i="2"/>
  <c r="AP98" i="2"/>
  <c r="AT98" i="2" s="1"/>
  <c r="K70" i="2"/>
  <c r="M70" i="2" s="1"/>
  <c r="G70" i="2"/>
  <c r="K71" i="2"/>
  <c r="M71" i="2" s="1"/>
  <c r="G71" i="2"/>
  <c r="U52" i="2"/>
  <c r="AW23" i="2" s="1"/>
  <c r="AP122" i="2" l="1"/>
  <c r="AP124" i="2" s="1"/>
  <c r="AP126" i="2" s="1"/>
  <c r="AB122" i="2"/>
  <c r="AC122" i="2"/>
  <c r="AC124" i="2" s="1"/>
  <c r="AC126" i="2" s="1"/>
  <c r="AD122" i="2"/>
  <c r="AD124" i="2" s="1"/>
  <c r="AD126" i="2" s="1"/>
  <c r="AE122" i="2"/>
  <c r="AE124" i="2" s="1"/>
  <c r="AE126" i="2" s="1"/>
  <c r="AF122" i="2"/>
  <c r="AF124" i="2" s="1"/>
  <c r="AF126" i="2" s="1"/>
  <c r="AG122" i="2"/>
  <c r="AG124" i="2" s="1"/>
  <c r="AG126" i="2" s="1"/>
  <c r="AH122" i="2"/>
  <c r="AH124" i="2" s="1"/>
  <c r="AH126" i="2" s="1"/>
  <c r="AI122" i="2"/>
  <c r="AI124" i="2" s="1"/>
  <c r="AI126" i="2" s="1"/>
  <c r="AK122" i="2"/>
  <c r="AK124" i="2" s="1"/>
  <c r="AK126" i="2" s="1"/>
  <c r="AJ122" i="2"/>
  <c r="AJ124" i="2" s="1"/>
  <c r="AJ126" i="2" s="1"/>
  <c r="AL122" i="2"/>
  <c r="AL124" i="2" s="1"/>
  <c r="AL126" i="2" s="1"/>
  <c r="AM122" i="2"/>
  <c r="AM124" i="2" s="1"/>
  <c r="AM126" i="2" s="1"/>
  <c r="AN122" i="2"/>
  <c r="AN124" i="2" s="1"/>
  <c r="AN126" i="2" s="1"/>
  <c r="AO122" i="2"/>
  <c r="AO124" i="2" s="1"/>
  <c r="AO126" i="2" s="1"/>
  <c r="AF27" i="2"/>
  <c r="AJ27" i="2" s="1"/>
  <c r="AW79" i="2"/>
  <c r="G72" i="2"/>
  <c r="AB124" i="2" l="1"/>
  <c r="AB126" i="2" s="1"/>
  <c r="AQ126" i="2" s="1"/>
  <c r="AH127" i="2" s="1"/>
  <c r="AQ122" i="2"/>
  <c r="AQ124" i="2" s="1"/>
  <c r="AP133" i="2"/>
  <c r="AP135" i="2" s="1"/>
  <c r="AP137" i="2" s="1"/>
  <c r="AB133" i="2"/>
  <c r="AC133" i="2"/>
  <c r="AC135" i="2" s="1"/>
  <c r="AC137" i="2" s="1"/>
  <c r="AD133" i="2"/>
  <c r="AD135" i="2" s="1"/>
  <c r="AD137" i="2" s="1"/>
  <c r="AE133" i="2"/>
  <c r="AE135" i="2" s="1"/>
  <c r="AE137" i="2" s="1"/>
  <c r="AF133" i="2"/>
  <c r="AF135" i="2" s="1"/>
  <c r="AF137" i="2" s="1"/>
  <c r="AG133" i="2"/>
  <c r="AG135" i="2" s="1"/>
  <c r="AG137" i="2" s="1"/>
  <c r="AH133" i="2"/>
  <c r="AH135" i="2" s="1"/>
  <c r="AH137" i="2" s="1"/>
  <c r="AI133" i="2"/>
  <c r="AI135" i="2" s="1"/>
  <c r="AI137" i="2" s="1"/>
  <c r="AK133" i="2"/>
  <c r="AK135" i="2" s="1"/>
  <c r="AK137" i="2" s="1"/>
  <c r="AJ133" i="2"/>
  <c r="AJ135" i="2" s="1"/>
  <c r="AJ137" i="2" s="1"/>
  <c r="AL133" i="2"/>
  <c r="AL135" i="2" s="1"/>
  <c r="AL137" i="2" s="1"/>
  <c r="AM133" i="2"/>
  <c r="AM135" i="2" s="1"/>
  <c r="AM137" i="2" s="1"/>
  <c r="AO133" i="2"/>
  <c r="AO135" i="2" s="1"/>
  <c r="AO137" i="2" s="1"/>
  <c r="AN133" i="2"/>
  <c r="AN135" i="2" s="1"/>
  <c r="AN137" i="2" s="1"/>
  <c r="AF127" i="2"/>
  <c r="AB127" i="2"/>
  <c r="AM127" i="2"/>
  <c r="AC127" i="2"/>
  <c r="AO127" i="2"/>
  <c r="AK127" i="2"/>
  <c r="AG127" i="2"/>
  <c r="AN127" i="2"/>
  <c r="AQ127" i="2" l="1"/>
  <c r="AE127" i="2"/>
  <c r="AL127" i="2"/>
  <c r="AM160" i="2"/>
  <c r="AB135" i="2"/>
  <c r="AQ133" i="2"/>
  <c r="AD127" i="2"/>
  <c r="AP127" i="2"/>
  <c r="AI127" i="2"/>
  <c r="AJ127" i="2"/>
  <c r="AD160" i="2"/>
  <c r="AJ160" i="2"/>
  <c r="AB149" i="2" s="1"/>
  <c r="AB137" i="2" l="1"/>
  <c r="AQ135" i="2"/>
  <c r="AR158" i="2"/>
  <c r="AQ137" i="2" l="1"/>
  <c r="AB138" i="2"/>
  <c r="AB160" i="2"/>
  <c r="AB157" i="2" s="1"/>
  <c r="AB150" i="2"/>
  <c r="AB148" i="2" s="1"/>
  <c r="AB143" i="2" s="1"/>
  <c r="AB142" i="2" s="1"/>
  <c r="AN160" i="2" l="1"/>
  <c r="AC138" i="2"/>
  <c r="AO138" i="2"/>
  <c r="AL138" i="2"/>
  <c r="AD138" i="2"/>
  <c r="AH138" i="2"/>
  <c r="AK138" i="2"/>
  <c r="AJ138" i="2"/>
  <c r="AP138" i="2"/>
  <c r="AN138" i="2"/>
  <c r="AQ138" i="2"/>
  <c r="AF138" i="2"/>
  <c r="AM138" i="2"/>
  <c r="AI138" i="2"/>
  <c r="AE138" i="2"/>
  <c r="AG138" i="2"/>
  <c r="AK160" i="2" l="1"/>
  <c r="AE160" i="2"/>
  <c r="AR159" i="2" s="1"/>
  <c r="AC150" i="2" s="1"/>
  <c r="AC148" i="2" l="1"/>
  <c r="AC143" i="2" s="1"/>
  <c r="AC142" i="2" s="1"/>
  <c r="AC149" i="2"/>
  <c r="AC160" i="2"/>
  <c r="AC157" i="2" s="1"/>
</calcChain>
</file>

<file path=xl/sharedStrings.xml><?xml version="1.0" encoding="utf-8"?>
<sst xmlns="http://schemas.openxmlformats.org/spreadsheetml/2006/main" count="263" uniqueCount="186">
  <si>
    <t>1.</t>
  </si>
  <si>
    <t>2.</t>
  </si>
  <si>
    <t>3.</t>
  </si>
  <si>
    <t>Rgts</t>
  </si>
  <si>
    <t>Triangle de paiement</t>
  </si>
  <si>
    <t>b. Réassurance</t>
  </si>
  <si>
    <t>c. SCR</t>
  </si>
  <si>
    <t>4.</t>
  </si>
  <si>
    <t>Points</t>
  </si>
  <si>
    <t>L'assureur souhaite désormais déterminer quelle est le traité de réassurance qui minimise la consommation en capital. On se place sur le LoB 12 qui correspond aux dommages auto.</t>
  </si>
  <si>
    <t>Courbe des taux Euro</t>
  </si>
  <si>
    <t>Charge (paiements + provision dossier / dossier)</t>
  </si>
  <si>
    <t>Règlements observés au 31/12/2020</t>
  </si>
  <si>
    <t>Montant de primes acquises</t>
  </si>
  <si>
    <t>En déduire le montant de primes nettes de réassurances. On supposera que sur tout l'historique, le montant de primes acquises annuel brut de réassurance est de 35 M€</t>
  </si>
  <si>
    <t xml:space="preserve">Résultat net de réassurance 2020 = primes acquises nettes de réassurance 2020 + commission de réassurance 2020 - charge ultime nette de réassurance 2020 </t>
  </si>
  <si>
    <r>
      <t xml:space="preserve">Automatiser le calcul de la charge ultime </t>
    </r>
    <r>
      <rPr>
        <b/>
        <sz val="11"/>
        <color rgb="FFFF0000"/>
        <rFont val="Calibri"/>
        <family val="2"/>
        <scheme val="minor"/>
      </rPr>
      <t>sur R</t>
    </r>
    <r>
      <rPr>
        <b/>
        <sz val="11"/>
        <color theme="1"/>
        <rFont val="Calibri"/>
        <family val="2"/>
        <scheme val="minor"/>
      </rPr>
      <t xml:space="preserve"> - méthode CM x Freq déterministe  en reprenant l'exemple du cours du chapitre 3 (utiliser les données du fichier "3. CM x Freq déterministe")</t>
    </r>
  </si>
  <si>
    <r>
      <t xml:space="preserve">Automatiser l'alimentation du compte de résultat et du bilan </t>
    </r>
    <r>
      <rPr>
        <b/>
        <sz val="11"/>
        <color rgb="FFFF0000"/>
        <rFont val="Calibri"/>
        <family val="2"/>
        <scheme val="minor"/>
      </rPr>
      <t>sur</t>
    </r>
    <r>
      <rPr>
        <b/>
        <sz val="11"/>
        <color theme="1"/>
        <rFont val="Calibri"/>
        <family val="2"/>
        <scheme val="minor"/>
      </rPr>
      <t xml:space="preserve"> </t>
    </r>
    <r>
      <rPr>
        <b/>
        <sz val="11"/>
        <color rgb="FFFF0000"/>
        <rFont val="Calibri"/>
        <family val="2"/>
        <scheme val="minor"/>
      </rPr>
      <t>VBA</t>
    </r>
    <r>
      <rPr>
        <b/>
        <sz val="11"/>
        <color theme="1"/>
        <rFont val="Calibri"/>
        <family val="2"/>
        <scheme val="minor"/>
      </rPr>
      <t xml:space="preserve"> en reprenant l'exemple du cours du chapitre 2 (cf. chapitre 2 fichier "application chapitre 2")</t>
    </r>
  </si>
  <si>
    <r>
      <t xml:space="preserve">Projet  </t>
    </r>
    <r>
      <rPr>
        <b/>
        <sz val="11"/>
        <color rgb="FFFF0000"/>
        <rFont val="Calibri"/>
        <family val="2"/>
        <scheme val="minor"/>
      </rPr>
      <t>(à réaliser sur Excel, VBA ou sur R)</t>
    </r>
  </si>
  <si>
    <t>a. Calcul de provisions brutes de réassurance</t>
  </si>
  <si>
    <t>i.</t>
  </si>
  <si>
    <t>ii.</t>
  </si>
  <si>
    <t>iii.</t>
  </si>
  <si>
    <t>On reprend les résultats du 4.a.i. pour effectuer les calculs qui suivent.</t>
  </si>
  <si>
    <t>Calculer le résultat de l'assureur par traité (sur le QP et sur le SL) pour l'année 2020 et conclure sur les résultats obtenus.</t>
  </si>
  <si>
    <t>iv.</t>
  </si>
  <si>
    <t>Expliquer et conclure sur les résultats obtenus.</t>
  </si>
  <si>
    <t>Dans l'onglet "Triangle", se trouve les informations concernant le développement des paiements de sinistres dommage auto par exercice de survenance d'une compagnie d'assurance.</t>
  </si>
  <si>
    <t>Calculer par la méthode de Chain Ladder, le montant de charge ultime et de provisions sinistres par exercice de survenance et au total.</t>
  </si>
  <si>
    <t>En déduire les montants d'IBNR sur la base des résultats obtenus en questions i. et ii. Pour le calcul, on supposera que l'on retient les résultats de la méthode Chain Ladder pour les survenances 2006 à 2018, et ceux de la méthode Bornhuetter-Fergusson pour 2019 et 2020.</t>
  </si>
  <si>
    <r>
      <t xml:space="preserve">Automatiser le calcul de cessions sur un traité en excédent de sinistres </t>
    </r>
    <r>
      <rPr>
        <b/>
        <sz val="11"/>
        <color rgb="FFFF0000"/>
        <rFont val="Calibri"/>
        <family val="2"/>
        <scheme val="minor"/>
      </rPr>
      <t>sur R</t>
    </r>
    <r>
      <rPr>
        <b/>
        <sz val="11"/>
        <color theme="1"/>
        <rFont val="Calibri"/>
        <family val="2"/>
        <scheme val="minor"/>
      </rPr>
      <t xml:space="preserve"> en reprenant l'exemple du cours du chapitre 4 (utiliser les données du fichier "4. Excédent de sinistres")</t>
    </r>
  </si>
  <si>
    <t>On suppose un traité en QP avec un taux de cession de 60 % en primes et sinistres et une commission de réassurance de 20 % des primes cédées. Sur la base des résultats obtenus à la question 4.a.i., en déduire la charge ultime nette de réassurance et les provisions sinistres nettes de réassurance</t>
  </si>
  <si>
    <t>On suppose un traité en SL  30% XS 70 % avec une tarification équivalente à 15 % des primes brutes de réassurance (pas de commission de réassurance). Sur la base des résultats obtenus à la question 4.a.i., en déduire la charge ultime nette de réassurance et les provisions sinistres nettes de réassurance.</t>
  </si>
  <si>
    <t>Actualiser les provisions sinistres nettes de réassurance (résultats des sections 4.b.i et 4.b.ii.) à la courbe des taux sans risque disponible dans l'onglet "Courbe des taux"</t>
  </si>
  <si>
    <t>Réassurance Stop Loss (SL)</t>
  </si>
  <si>
    <t>Réassurance Quote part (QP)</t>
  </si>
  <si>
    <t>Calculer le montant de SCR nécessaire au titre du risque primes &amp; réserves avec le traité SL (en utilisant le total des provisions nettes de réassurance actualisées et les primes nettes de réassurance de l'année 2020)</t>
  </si>
  <si>
    <t>Calculer le montant de SCR nécessaire au titre du risque primes &amp; réserves avec le traité QP (en utilisant le total des provisions nettes de réassurance actualisées et les primes nettes de réassurance de l'année 2020)</t>
  </si>
  <si>
    <t>5.</t>
  </si>
  <si>
    <t>Question bonus</t>
  </si>
  <si>
    <t>En une page, que vous a apporté le cours d'actuariat non-vie ? En quoi ce cours vous a-t-il semblé utile? Avez-vous des remarques particulières sur l'organisation du cours, le contenu ou des points que vous auriez souhaité aborder, des points à améliorer ?</t>
  </si>
  <si>
    <r>
      <t xml:space="preserve">L'ensemble des travaux devra être synthétisé dans un document (Word, pdf, ...) avec les résultats, codes et fichiers ayant permis de réaliser les calculs. 
Chaque question devra être illustrée de commentaires et des formules ayant permis la réalisation des calculs. Des graphiques peuvent également illustrer le travail.  
Je vous invite à vous inspirer de la littérature actuarielle (mémoires d'actuariat, du cours, ...) sur les sujets exposés dans ce projet. J'attends un effort tant sur le fond que sur la forme, l'idée étant qu'avec un tel projet, vous soyez en mesure de le promouvoir lors d'un entretien d'embauche.
Vous pouvez réaliser ces travaux par groupe de </t>
    </r>
    <r>
      <rPr>
        <b/>
        <sz val="11"/>
        <color rgb="FFFF0000"/>
        <rFont val="Calibri"/>
        <family val="2"/>
        <scheme val="minor"/>
      </rPr>
      <t>3 étudiants maximum</t>
    </r>
    <r>
      <rPr>
        <b/>
        <sz val="11"/>
        <color theme="1"/>
        <rFont val="Calibri"/>
        <family val="2"/>
        <scheme val="minor"/>
      </rPr>
      <t>. Nous définirons ensemble une date de remise des travaux.</t>
    </r>
  </si>
  <si>
    <t>En supposant que sur 2019 et 2020, le montant de primes acquises est de 35 millions d'€, et que l'entreprise considère pour ces deux exercices, un S/P a priori de 108% pour 2019 et de 93 % pour 2020, calculer par la méthode de Bornhuetter Fergusson, les montants de charge à l'ultime et de provisions sinistres des exercices 2019 et 2020.</t>
  </si>
  <si>
    <t>Coeff.moyens de dvt</t>
  </si>
  <si>
    <t>Développement au terme</t>
  </si>
  <si>
    <t>Cadence</t>
  </si>
  <si>
    <t>R observée</t>
  </si>
  <si>
    <t>Provision</t>
  </si>
  <si>
    <t>1. Cacul des coefficients de développement pondérés :</t>
  </si>
  <si>
    <t>2. Détermination des cash-flow :</t>
  </si>
  <si>
    <t>Fi.k</t>
  </si>
  <si>
    <t>CU BF</t>
  </si>
  <si>
    <t>Loss Ratio</t>
  </si>
  <si>
    <t>CU ultime CL</t>
  </si>
  <si>
    <t xml:space="preserve"> Primes acquises</t>
  </si>
  <si>
    <t>Confiance</t>
  </si>
  <si>
    <t>Charge à priori</t>
  </si>
  <si>
    <t>Provision CL</t>
  </si>
  <si>
    <t>Provision BF</t>
  </si>
  <si>
    <t>Provisions TOTALE</t>
  </si>
  <si>
    <t>IBNR</t>
  </si>
  <si>
    <t>Provision dossier / dossier)</t>
  </si>
  <si>
    <t>Primes</t>
  </si>
  <si>
    <t>QP</t>
  </si>
  <si>
    <t>S/P ultime</t>
  </si>
  <si>
    <t>Primes nettes</t>
  </si>
  <si>
    <t>Charges nettes QP</t>
  </si>
  <si>
    <t>S/P net QP</t>
  </si>
  <si>
    <t>Année de règlements</t>
  </si>
  <si>
    <t>Réglements cédés</t>
  </si>
  <si>
    <t>Provisions brutes de réassurance</t>
  </si>
  <si>
    <t>Provisions cédées</t>
  </si>
  <si>
    <t>Provisions nettes de réassurance</t>
  </si>
  <si>
    <t>SL</t>
  </si>
  <si>
    <t>XS</t>
  </si>
  <si>
    <t>Charges nettes SL</t>
  </si>
  <si>
    <t>Primes nettes SL</t>
  </si>
  <si>
    <t>S/P net SL</t>
  </si>
  <si>
    <t xml:space="preserve">   </t>
  </si>
  <si>
    <t xml:space="preserve">N = 2019 : </t>
  </si>
  <si>
    <t>Pour un chiffre d'affaire de 35M d'euros, le réassureur ne paiera pas plus de 10,5M d'euros.</t>
  </si>
  <si>
    <t>Paramètres</t>
  </si>
  <si>
    <t>Simulation</t>
  </si>
  <si>
    <t>QP cessions sinistres</t>
  </si>
  <si>
    <t>Charge</t>
  </si>
  <si>
    <t>S/P</t>
  </si>
  <si>
    <t>Montant primes cédées</t>
  </si>
  <si>
    <t>Montant commission</t>
  </si>
  <si>
    <t>Montant charge cédée</t>
  </si>
  <si>
    <t>QP cessions Primes</t>
  </si>
  <si>
    <t>Taux de comission</t>
  </si>
  <si>
    <t>S/P portée</t>
  </si>
  <si>
    <t>S/P priorité</t>
  </si>
  <si>
    <t>Capacité</t>
  </si>
  <si>
    <t>Taux de primes cédées</t>
  </si>
  <si>
    <t>Priorité traduite en montant</t>
  </si>
  <si>
    <t>Portée traduite en montant</t>
  </si>
  <si>
    <t>Montant cédé</t>
  </si>
  <si>
    <t>Montant rétention en dessous de la priorité</t>
  </si>
  <si>
    <t>Montant rétention au-delà de la capacité</t>
  </si>
  <si>
    <t>Primes cédées</t>
  </si>
  <si>
    <t>S/P après réassurance</t>
  </si>
  <si>
    <t>Résultat assureur avec réass</t>
  </si>
  <si>
    <t>Résultat assureur sans réass</t>
  </si>
  <si>
    <t>N de règlements</t>
  </si>
  <si>
    <t>Rglts cédés</t>
  </si>
  <si>
    <t>Volume measure for non-life premium risk per segment</t>
  </si>
  <si>
    <t>Motor vehicle liability</t>
  </si>
  <si>
    <t>-</t>
  </si>
  <si>
    <t>Motor, other classes</t>
  </si>
  <si>
    <t>Marine, aviation, transport (MAT)</t>
  </si>
  <si>
    <t>Fire and other property damage</t>
  </si>
  <si>
    <t>Third-party liability</t>
  </si>
  <si>
    <t>Crédit et caution</t>
  </si>
  <si>
    <t>Legal expenses</t>
  </si>
  <si>
    <t>Assistance</t>
  </si>
  <si>
    <t>Divers</t>
  </si>
  <si>
    <t>Non-prop. reinsurance - casualty</t>
  </si>
  <si>
    <t>Non-prop. reinsurance - MAT</t>
  </si>
  <si>
    <t>Non-prop. reinsurance - property</t>
  </si>
  <si>
    <t>P(QP)</t>
  </si>
  <si>
    <t>P(SL)</t>
  </si>
  <si>
    <t>P(last) QP</t>
  </si>
  <si>
    <t>P(last) SL</t>
  </si>
  <si>
    <t>FP(existing) QP</t>
  </si>
  <si>
    <t>FP(existing) SL</t>
  </si>
  <si>
    <t xml:space="preserve">FP(future) QP </t>
  </si>
  <si>
    <t>FP(future) SL</t>
  </si>
  <si>
    <t>Combined standard dev. x Volume meas.</t>
  </si>
  <si>
    <t>Segment</t>
  </si>
  <si>
    <t>Reserve</t>
  </si>
  <si>
    <t>Premium</t>
  </si>
  <si>
    <t>DIVlob</t>
  </si>
  <si>
    <r>
      <t xml:space="preserve">Overall Vs
x
Overall </t>
    </r>
    <r>
      <rPr>
        <b/>
        <sz val="9"/>
        <color theme="0"/>
        <rFont val="Symbol"/>
        <family val="1"/>
        <charset val="2"/>
      </rPr>
      <t>s</t>
    </r>
    <r>
      <rPr>
        <b/>
        <sz val="8"/>
        <color theme="0"/>
        <rFont val="Calibri"/>
        <family val="2"/>
        <scheme val="minor"/>
      </rPr>
      <t xml:space="preserve"> (QP)</t>
    </r>
  </si>
  <si>
    <t>Overall Vs                 x
Overall s (SL)</t>
  </si>
  <si>
    <t>Reserve
V x Sigma (QP)</t>
  </si>
  <si>
    <t>Reserve
V x Sigma (SL)</t>
  </si>
  <si>
    <t xml:space="preserve">Overall
Vs (QP) </t>
  </si>
  <si>
    <t xml:space="preserve">Overall
Vs (SL) </t>
  </si>
  <si>
    <r>
      <t>PCOlob
V</t>
    </r>
    <r>
      <rPr>
        <b/>
        <vertAlign val="subscript"/>
        <sz val="10"/>
        <color theme="0"/>
        <rFont val="Calibri"/>
        <family val="2"/>
      </rPr>
      <t>res</t>
    </r>
    <r>
      <rPr>
        <b/>
        <sz val="8"/>
        <color theme="0"/>
        <rFont val="Calibri"/>
        <family val="2"/>
        <scheme val="minor"/>
      </rPr>
      <t xml:space="preserve"> (QP)</t>
    </r>
  </si>
  <si>
    <r>
      <t>PCOlob
V</t>
    </r>
    <r>
      <rPr>
        <b/>
        <vertAlign val="subscript"/>
        <sz val="10"/>
        <color theme="0"/>
        <rFont val="Calibri"/>
        <family val="2"/>
      </rPr>
      <t>res</t>
    </r>
    <r>
      <rPr>
        <b/>
        <sz val="8"/>
        <color theme="0"/>
        <rFont val="Calibri"/>
        <family val="2"/>
        <scheme val="minor"/>
      </rPr>
      <t xml:space="preserve"> (SL)</t>
    </r>
  </si>
  <si>
    <t>Courbe des taux</t>
  </si>
  <si>
    <t>BEST ESTIMATE</t>
  </si>
  <si>
    <t>Premium
V x Sigma (SL)</t>
  </si>
  <si>
    <t>Premium
V x Sigma (QP)</t>
  </si>
  <si>
    <r>
      <t>V</t>
    </r>
    <r>
      <rPr>
        <b/>
        <vertAlign val="subscript"/>
        <sz val="10"/>
        <color theme="0"/>
        <rFont val="Calibri"/>
        <family val="2"/>
      </rPr>
      <t>prem</t>
    </r>
    <r>
      <rPr>
        <b/>
        <sz val="10"/>
        <color theme="0"/>
        <rFont val="Calibri"/>
        <family val="2"/>
        <scheme val="minor"/>
      </rPr>
      <t>(SL)</t>
    </r>
  </si>
  <si>
    <r>
      <t>V</t>
    </r>
    <r>
      <rPr>
        <b/>
        <vertAlign val="subscript"/>
        <sz val="11"/>
        <color theme="0"/>
        <rFont val="Calibri"/>
        <family val="2"/>
      </rPr>
      <t>prem</t>
    </r>
    <r>
      <rPr>
        <b/>
        <sz val="11"/>
        <color theme="0"/>
        <rFont val="Calibri"/>
        <family val="2"/>
        <scheme val="minor"/>
      </rPr>
      <t xml:space="preserve"> (QP)</t>
    </r>
  </si>
  <si>
    <t>Rglts brutes</t>
  </si>
  <si>
    <t>Rglts nettes</t>
  </si>
  <si>
    <r>
      <rPr>
        <b/>
        <sz val="11"/>
        <color theme="0"/>
        <rFont val="Symbol"/>
        <family val="1"/>
        <charset val="2"/>
      </rPr>
      <t>s</t>
    </r>
    <r>
      <rPr>
        <b/>
        <sz val="11"/>
        <color theme="0"/>
        <rFont val="Calibri"/>
        <family val="2"/>
        <scheme val="minor"/>
      </rPr>
      <t>s (SL)</t>
    </r>
  </si>
  <si>
    <r>
      <rPr>
        <b/>
        <sz val="11"/>
        <color theme="0"/>
        <rFont val="Symbol"/>
        <family val="1"/>
        <charset val="2"/>
      </rPr>
      <t>s</t>
    </r>
    <r>
      <rPr>
        <b/>
        <sz val="11"/>
        <color theme="0"/>
        <rFont val="Calibri"/>
        <family val="2"/>
        <scheme val="minor"/>
      </rPr>
      <t>s (QP)</t>
    </r>
  </si>
  <si>
    <t>CorrS</t>
  </si>
  <si>
    <t>1: Motor vehicle liability</t>
  </si>
  <si>
    <t>2: Other motor</t>
  </si>
  <si>
    <t>3: MAT</t>
  </si>
  <si>
    <t>4: Fire</t>
  </si>
  <si>
    <t>5: 3rd party liability</t>
  </si>
  <si>
    <t>6: Credit</t>
  </si>
  <si>
    <t>7: Legal exp.</t>
  </si>
  <si>
    <t>8: Assistance</t>
  </si>
  <si>
    <t>9: Miscellaneous.</t>
  </si>
  <si>
    <t>10:Np reins. (casualty)</t>
  </si>
  <si>
    <t>11:Np reins. (MAT)</t>
  </si>
  <si>
    <t>12:Np reins. (property)</t>
  </si>
  <si>
    <t>Premium  &amp; Reserve risk</t>
  </si>
  <si>
    <t>Volume measure</t>
  </si>
  <si>
    <t>Combined standard deviation</t>
  </si>
  <si>
    <t>Capital requirement for non-life risks</t>
  </si>
  <si>
    <t>Risk-Module level value</t>
  </si>
  <si>
    <t>Lapse risk (mass schock)</t>
  </si>
  <si>
    <t>CAT</t>
  </si>
  <si>
    <t>NLpr</t>
  </si>
  <si>
    <t>NLlapse</t>
  </si>
  <si>
    <t>NLCAT</t>
  </si>
  <si>
    <t>3. Calcul des provisions  et IBNR :</t>
  </si>
  <si>
    <t>PARTIE II :  1. Calcul des primes et charges (QP)</t>
  </si>
  <si>
    <t>2. Calcul des primes et charges nettes ( SL) :</t>
  </si>
  <si>
    <t>Assureur</t>
  </si>
  <si>
    <t>Réassureur</t>
  </si>
  <si>
    <t>sinistre d'une charge de 38292472 on dépasse la capacité de 3292472</t>
  </si>
  <si>
    <t>capacité = 35000000</t>
  </si>
  <si>
    <t xml:space="preserve">PARTIE III : Calcul du SCR avec le BE </t>
  </si>
  <si>
    <t>L’assureur souhaite proteger son resultat a partir d'un S/P de 70% jusqu'à 100% , Le réassuseur interviendra sur la tranche allant de 0 à 70% et + de 100%</t>
  </si>
  <si>
    <t>Tx de cession</t>
  </si>
  <si>
    <t>Conso SCR QP</t>
  </si>
  <si>
    <t>Conso SCR SL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</si>
</sst>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5" formatCode="#,##0\ &quot;€&quot;;\-#,##0\ &quot;€&quot;"/>
    <numFmt numFmtId="44" formatCode="_-* #,##0.00\ &quot;€&quot;_-;\-* #,##0.00\ &quot;€&quot;_-;_-* &quot;-&quot;??\ &quot;€&quot;_-;_-@_-"/>
    <numFmt numFmtId="43" formatCode="_-* #,##0.00_-;\-* #,##0.00_-;_-* &quot;-&quot;??_-;_-@_-"/>
    <numFmt numFmtId="164" formatCode="0.000%"/>
    <numFmt numFmtId="165" formatCode="_-* #,##0_-;\-* #,##0_-;_-* &quot;-&quot;??_-;_-@_-"/>
    <numFmt numFmtId="166" formatCode="_-* #,##0.00\ _€_-;\-* #,##0.00\ _€_-;_-* &quot;-&quot;??\ _€_-;_-@_-"/>
    <numFmt numFmtId="167" formatCode="_-* #,##0.00\ [$€-40C]_-;\-* #,##0.00\ [$€-40C]_-;_-* &quot;-&quot;??\ [$€-40C]_-;_-@_-"/>
    <numFmt numFmtId="168" formatCode="&quot;$&quot;#,##0_);[Red]\(&quot;$&quot;#,##0\)"/>
  </numFmts>
  <fonts count="30" x14ac:knownFonts="1">
    <font>
      <sz val="11"/>
      <color theme="1"/>
      <name val="Calibri"/>
      <family val="2"/>
      <scheme val="minor"/>
    </font>
    <font>
      <sz val="11"/>
      <color theme="1"/>
      <name val="Calibri"/>
      <family val="2"/>
      <scheme val="minor"/>
    </font>
    <font>
      <b/>
      <sz val="11"/>
      <color theme="1"/>
      <name val="Calibri"/>
      <family val="2"/>
      <scheme val="minor"/>
    </font>
    <font>
      <sz val="8"/>
      <color theme="1"/>
      <name val="Calibri"/>
      <family val="2"/>
      <scheme val="minor"/>
    </font>
    <font>
      <b/>
      <sz val="11"/>
      <color rgb="FFFF0000"/>
      <name val="Calibri"/>
      <family val="2"/>
      <scheme val="minor"/>
    </font>
    <font>
      <b/>
      <sz val="11"/>
      <color theme="0"/>
      <name val="Calibri"/>
      <family val="2"/>
      <scheme val="minor"/>
    </font>
    <font>
      <sz val="11"/>
      <color theme="0"/>
      <name val="Calibri"/>
      <family val="2"/>
      <scheme val="minor"/>
    </font>
    <font>
      <b/>
      <sz val="8"/>
      <color theme="0"/>
      <name val="Calibri"/>
      <family val="2"/>
      <scheme val="minor"/>
    </font>
    <font>
      <sz val="8"/>
      <color theme="0"/>
      <name val="Calibri"/>
      <family val="2"/>
      <scheme val="minor"/>
    </font>
    <font>
      <sz val="12"/>
      <color theme="0"/>
      <name val="Calibri"/>
      <family val="2"/>
      <scheme val="minor"/>
    </font>
    <font>
      <b/>
      <sz val="9"/>
      <color theme="0"/>
      <name val="Calibri"/>
      <family val="2"/>
      <scheme val="minor"/>
    </font>
    <font>
      <sz val="9"/>
      <color theme="1"/>
      <name val="Calibri"/>
      <family val="2"/>
      <scheme val="minor"/>
    </font>
    <font>
      <b/>
      <sz val="8"/>
      <name val="Calibri"/>
      <family val="2"/>
      <scheme val="minor"/>
    </font>
    <font>
      <b/>
      <sz val="7"/>
      <name val="Calibri"/>
      <family val="2"/>
      <scheme val="minor"/>
    </font>
    <font>
      <b/>
      <sz val="7"/>
      <color theme="0"/>
      <name val="Calibri"/>
      <family val="2"/>
      <scheme val="minor"/>
    </font>
    <font>
      <sz val="10"/>
      <name val="Arial"/>
      <family val="2"/>
    </font>
    <font>
      <sz val="9"/>
      <name val="Arial"/>
      <family val="2"/>
    </font>
    <font>
      <sz val="11"/>
      <color indexed="8"/>
      <name val="Calibri"/>
      <family val="2"/>
    </font>
    <font>
      <u/>
      <sz val="11"/>
      <color theme="10"/>
      <name val="Calibri"/>
      <family val="2"/>
    </font>
    <font>
      <sz val="10"/>
      <color theme="1"/>
      <name val="Calibri"/>
      <family val="2"/>
      <scheme val="minor"/>
    </font>
    <font>
      <i/>
      <sz val="9"/>
      <name val="Arial"/>
      <family val="2"/>
    </font>
    <font>
      <b/>
      <sz val="9"/>
      <color theme="0"/>
      <name val="Symbol"/>
      <family val="1"/>
      <charset val="2"/>
    </font>
    <font>
      <b/>
      <vertAlign val="subscript"/>
      <sz val="10"/>
      <color theme="0"/>
      <name val="Calibri"/>
      <family val="2"/>
    </font>
    <font>
      <sz val="17"/>
      <color theme="0"/>
      <name val="Calibri"/>
      <family val="2"/>
      <scheme val="minor"/>
    </font>
    <font>
      <sz val="11"/>
      <color rgb="FF0B744D"/>
      <name val="Calibri"/>
      <family val="2"/>
      <scheme val="minor"/>
    </font>
    <font>
      <sz val="72"/>
      <color theme="0"/>
      <name val="Calibri Light"/>
      <family val="2"/>
      <scheme val="major"/>
    </font>
    <font>
      <i/>
      <sz val="10"/>
      <color theme="1"/>
      <name val="Times New Roman"/>
      <family val="1"/>
    </font>
    <font>
      <b/>
      <sz val="11"/>
      <color theme="0"/>
      <name val="Symbol"/>
      <family val="1"/>
      <charset val="2"/>
    </font>
    <font>
      <b/>
      <sz val="10"/>
      <color theme="0"/>
      <name val="Calibri"/>
      <family val="2"/>
      <scheme val="minor"/>
    </font>
    <font>
      <b/>
      <vertAlign val="subscript"/>
      <sz val="11"/>
      <color theme="0"/>
      <name val="Calibri"/>
      <family val="2"/>
    </font>
  </fonts>
  <fills count="29">
    <fill>
      <patternFill patternType="none"/>
    </fill>
    <fill>
      <patternFill patternType="gray125"/>
    </fill>
    <fill>
      <patternFill patternType="solid">
        <fgColor rgb="FFFFFF00"/>
        <bgColor indexed="64"/>
      </patternFill>
    </fill>
    <fill>
      <patternFill patternType="solid">
        <fgColor theme="3" tint="-0.249977111117893"/>
        <bgColor indexed="64"/>
      </patternFill>
    </fill>
    <fill>
      <patternFill patternType="solid">
        <fgColor theme="5"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499984740745262"/>
        <bgColor indexed="64"/>
      </patternFill>
    </fill>
    <fill>
      <patternFill patternType="solid">
        <fgColor theme="6" tint="0.79998168889431442"/>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9" tint="0.79998168889431442"/>
        <bgColor indexed="64"/>
      </patternFill>
    </fill>
    <fill>
      <patternFill patternType="solid">
        <fgColor rgb="FFC00000"/>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indexed="26"/>
        <bgColor indexed="64"/>
      </patternFill>
    </fill>
    <fill>
      <patternFill patternType="solid">
        <fgColor indexed="42"/>
        <bgColor indexed="64"/>
      </patternFill>
    </fill>
    <fill>
      <patternFill patternType="solid">
        <fgColor rgb="FF217346"/>
        <bgColor indexed="64"/>
      </patternFill>
    </fill>
    <fill>
      <patternFill patternType="solid">
        <fgColor theme="0" tint="-4.9989318521683403E-2"/>
        <bgColor indexed="64"/>
      </patternFill>
    </fill>
    <fill>
      <patternFill patternType="solid">
        <fgColor rgb="FFFFFF99"/>
        <bgColor indexed="64"/>
      </patternFill>
    </fill>
    <fill>
      <patternFill patternType="solid">
        <fgColor rgb="FF339966"/>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2" tint="-9.9978637043366805E-2"/>
        <bgColor indexed="64"/>
      </patternFill>
    </fill>
  </fills>
  <borders count="3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3" tint="-0.249977111117893"/>
      </left>
      <right style="thin">
        <color theme="3" tint="-0.249977111117893"/>
      </right>
      <top style="thin">
        <color theme="3" tint="-0.249977111117893"/>
      </top>
      <bottom style="thin">
        <color theme="3" tint="-0.249977111117893"/>
      </bottom>
      <diagonal/>
    </border>
    <border>
      <left/>
      <right style="thin">
        <color theme="3" tint="-0.249977111117893"/>
      </right>
      <top/>
      <bottom style="thin">
        <color theme="3" tint="-0.249977111117893"/>
      </bottom>
      <diagonal/>
    </border>
    <border>
      <left style="thin">
        <color theme="3" tint="-0.249977111117893"/>
      </left>
      <right style="thin">
        <color theme="3" tint="-0.249977111117893"/>
      </right>
      <top/>
      <bottom style="thin">
        <color theme="3" tint="-0.249977111117893"/>
      </bottom>
      <diagonal/>
    </border>
    <border>
      <left style="thin">
        <color theme="3" tint="-0.249977111117893"/>
      </left>
      <right style="thin">
        <color theme="3" tint="-0.249977111117893"/>
      </right>
      <top style="thin">
        <color theme="3" tint="-0.249977111117893"/>
      </top>
      <bottom/>
      <diagonal/>
    </border>
    <border>
      <left style="thin">
        <color theme="3" tint="-0.249977111117893"/>
      </left>
      <right/>
      <top style="thin">
        <color theme="3" tint="-0.249977111117893"/>
      </top>
      <bottom style="thin">
        <color theme="3" tint="-0.249977111117893"/>
      </bottom>
      <diagonal/>
    </border>
    <border>
      <left/>
      <right style="thin">
        <color theme="3" tint="-0.249977111117893"/>
      </right>
      <top/>
      <bottom/>
      <diagonal/>
    </border>
    <border>
      <left/>
      <right/>
      <top/>
      <bottom style="thin">
        <color theme="3" tint="-0.249977111117893"/>
      </bottom>
      <diagonal/>
    </border>
    <border>
      <left style="thin">
        <color theme="3" tint="-0.249977111117893"/>
      </left>
      <right/>
      <top style="thin">
        <color theme="3" tint="-0.249977111117893"/>
      </top>
      <bottom/>
      <diagonal/>
    </border>
    <border>
      <left/>
      <right style="thin">
        <color theme="3" tint="-0.249977111117893"/>
      </right>
      <top style="thin">
        <color theme="3" tint="-0.249977111117893"/>
      </top>
      <bottom/>
      <diagonal/>
    </border>
    <border>
      <left style="thin">
        <color theme="3" tint="-0.249977111117893"/>
      </left>
      <right/>
      <top/>
      <bottom style="thin">
        <color theme="3" tint="-0.249977111117893"/>
      </bottom>
      <diagonal/>
    </border>
    <border>
      <left/>
      <right style="thin">
        <color theme="3" tint="-0.249977111117893"/>
      </right>
      <top/>
      <bottom style="thin">
        <color indexed="64"/>
      </bottom>
      <diagonal/>
    </border>
    <border>
      <left/>
      <right style="thin">
        <color theme="3" tint="-0.249977111117893"/>
      </right>
      <top style="thin">
        <color indexed="64"/>
      </top>
      <bottom/>
      <diagonal/>
    </border>
    <border>
      <left/>
      <right/>
      <top style="thin">
        <color theme="3" tint="-0.249977111117893"/>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00B050"/>
      </left>
      <right style="thin">
        <color rgb="FF00B050"/>
      </right>
      <top style="thin">
        <color rgb="FF00B050"/>
      </top>
      <bottom style="thin">
        <color rgb="FF00B050"/>
      </bottom>
      <diagonal/>
    </border>
    <border>
      <left style="thick">
        <color rgb="FFF4B183"/>
      </left>
      <right style="thick">
        <color rgb="FFF4B183"/>
      </right>
      <top style="thick">
        <color rgb="FFF4B183"/>
      </top>
      <bottom style="thick">
        <color rgb="FFF4B183"/>
      </bottom>
      <diagonal/>
    </border>
    <border>
      <left/>
      <right style="thin">
        <color rgb="FF339966"/>
      </right>
      <top/>
      <bottom/>
      <diagonal/>
    </border>
    <border>
      <left style="thin">
        <color rgb="FF339966"/>
      </left>
      <right/>
      <top/>
      <bottom style="thin">
        <color rgb="FF339966"/>
      </bottom>
      <diagonal/>
    </border>
    <border>
      <left style="thin">
        <color rgb="FF339966"/>
      </left>
      <right/>
      <top/>
      <bottom/>
      <diagonal/>
    </border>
    <border>
      <left style="thin">
        <color indexed="64"/>
      </left>
      <right/>
      <top/>
      <bottom style="thin">
        <color theme="3" tint="-0.249977111117893"/>
      </bottom>
      <diagonal/>
    </border>
    <border>
      <left/>
      <right style="thin">
        <color indexed="64"/>
      </right>
      <top/>
      <bottom style="thin">
        <color theme="3" tint="-0.249977111117893"/>
      </bottom>
      <diagonal/>
    </border>
    <border>
      <left style="thin">
        <color theme="3" tint="-0.249977111117893"/>
      </left>
      <right/>
      <top/>
      <bottom/>
      <diagonal/>
    </border>
  </borders>
  <cellStyleXfs count="41">
    <xf numFmtId="0" fontId="0" fillId="0" borderId="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0" fontId="15" fillId="0" borderId="0"/>
    <xf numFmtId="43" fontId="15" fillId="0" borderId="0" applyFont="0" applyFill="0" applyBorder="0" applyAlignment="0" applyProtection="0"/>
    <xf numFmtId="9" fontId="15" fillId="0" borderId="0" applyFont="0" applyFill="0" applyBorder="0" applyAlignment="0" applyProtection="0"/>
    <xf numFmtId="0" fontId="1" fillId="0" borderId="0"/>
    <xf numFmtId="9" fontId="1" fillId="0" borderId="0" applyFont="0" applyFill="0" applyBorder="0" applyAlignment="0" applyProtection="0"/>
    <xf numFmtId="0" fontId="15" fillId="21" borderId="26" applyNumberFormat="0" applyFont="0" applyBorder="0" applyAlignment="0">
      <alignment horizontal="center" wrapText="1"/>
    </xf>
    <xf numFmtId="0" fontId="15" fillId="0" borderId="0"/>
    <xf numFmtId="166" fontId="1" fillId="0" borderId="0" applyFont="0" applyFill="0" applyBorder="0" applyAlignment="0" applyProtection="0"/>
    <xf numFmtId="9" fontId="17" fillId="0" borderId="0" applyFont="0" applyFill="0" applyBorder="0" applyAlignment="0" applyProtection="0"/>
    <xf numFmtId="0" fontId="17" fillId="0" borderId="0"/>
    <xf numFmtId="0" fontId="16" fillId="20" borderId="0" applyNumberFormat="0" applyBorder="0">
      <alignment horizontal="right"/>
      <protection locked="0"/>
    </xf>
    <xf numFmtId="0" fontId="18" fillId="0" borderId="0" applyNumberFormat="0" applyFill="0" applyBorder="0" applyAlignment="0" applyProtection="0">
      <alignment vertical="top"/>
      <protection locked="0"/>
    </xf>
    <xf numFmtId="3" fontId="19" fillId="20" borderId="0" applyBorder="0" applyProtection="0">
      <alignment horizontal="right" vertical="center"/>
    </xf>
    <xf numFmtId="0" fontId="1" fillId="0" borderId="0"/>
    <xf numFmtId="167" fontId="20" fillId="0" borderId="0" applyNumberFormat="0" applyBorder="0" applyAlignment="0"/>
    <xf numFmtId="43" fontId="1" fillId="0" borderId="0" applyFont="0" applyFill="0" applyBorder="0" applyAlignment="0" applyProtection="0"/>
    <xf numFmtId="0" fontId="23" fillId="22" borderId="0" applyNumberFormat="0" applyProtection="0">
      <alignment horizontal="left" wrapText="1" indent="4"/>
    </xf>
    <xf numFmtId="0" fontId="24" fillId="22" borderId="0" applyNumberFormat="0" applyProtection="0">
      <alignment horizontal="left" wrapText="1" indent="4"/>
    </xf>
    <xf numFmtId="0" fontId="25" fillId="22" borderId="0" applyNumberFormat="0" applyBorder="0" applyProtection="0">
      <alignment horizontal="left" indent="1"/>
    </xf>
    <xf numFmtId="0" fontId="24" fillId="0" borderId="0" applyFill="0" applyBorder="0">
      <alignment wrapText="1"/>
    </xf>
    <xf numFmtId="0" fontId="6" fillId="0" borderId="0"/>
    <xf numFmtId="0" fontId="1" fillId="23" borderId="28"/>
    <xf numFmtId="0" fontId="1" fillId="24" borderId="25"/>
    <xf numFmtId="0" fontId="1" fillId="23" borderId="0"/>
    <xf numFmtId="0" fontId="6" fillId="25" borderId="0" applyNumberFormat="0" applyBorder="0" applyProtection="0"/>
    <xf numFmtId="0" fontId="2" fillId="0" borderId="0" applyNumberFormat="0" applyFill="0" applyBorder="0" applyAlignment="0" applyProtection="0"/>
    <xf numFmtId="0" fontId="1" fillId="0" borderId="7" applyNumberFormat="0" applyFont="0" applyFill="0" applyAlignment="0"/>
    <xf numFmtId="0" fontId="1" fillId="0" borderId="29" applyNumberFormat="0" applyFont="0" applyFill="0" applyAlignment="0"/>
    <xf numFmtId="0" fontId="1" fillId="0" borderId="30" applyNumberFormat="0" applyFont="0" applyFill="0"/>
    <xf numFmtId="0" fontId="1" fillId="0" borderId="31" applyNumberFormat="0" applyFont="0" applyFill="0" applyAlignment="0"/>
    <xf numFmtId="14" fontId="1" fillId="0" borderId="0" applyFont="0" applyFill="0" applyBorder="0" applyAlignment="0"/>
    <xf numFmtId="168" fontId="1" fillId="2" borderId="0" applyFont="0" applyBorder="0" applyAlignment="0"/>
    <xf numFmtId="5" fontId="1"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5" fontId="1" fillId="0" borderId="0" applyFont="0" applyFill="0" applyBorder="0" applyAlignment="0" applyProtection="0"/>
  </cellStyleXfs>
  <cellXfs count="176">
    <xf numFmtId="0" fontId="0" fillId="0" borderId="0" xfId="0"/>
    <xf numFmtId="3" fontId="0" fillId="0" borderId="0" xfId="0" applyNumberFormat="1"/>
    <xf numFmtId="9" fontId="0" fillId="0" borderId="0" xfId="1" applyFont="1"/>
    <xf numFmtId="0" fontId="0" fillId="0" borderId="0" xfId="0" applyAlignment="1">
      <alignmen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0" xfId="0" applyAlignment="1">
      <alignment horizontal="left" vertical="top" wrapText="1"/>
    </xf>
    <xf numFmtId="0" fontId="2" fillId="0" borderId="0" xfId="0" applyFont="1" applyAlignment="1">
      <alignment vertical="top" wrapText="1"/>
    </xf>
    <xf numFmtId="0" fontId="2" fillId="2" borderId="0" xfId="0" applyFont="1" applyFill="1" applyAlignment="1">
      <alignment vertical="top" wrapText="1"/>
    </xf>
    <xf numFmtId="0" fontId="2" fillId="0" borderId="0" xfId="0" applyFont="1" applyAlignment="1">
      <alignment horizontal="left" vertical="top" wrapText="1"/>
    </xf>
    <xf numFmtId="10" fontId="0" fillId="0" borderId="0" xfId="0" applyNumberFormat="1"/>
    <xf numFmtId="4" fontId="0" fillId="0" borderId="0" xfId="0" applyNumberFormat="1"/>
    <xf numFmtId="164" fontId="0" fillId="0" borderId="0" xfId="1" applyNumberFormat="1" applyFont="1"/>
    <xf numFmtId="0" fontId="2" fillId="0" borderId="0" xfId="0" applyFont="1" applyAlignment="1">
      <alignment horizontal="center" vertical="center" wrapText="1"/>
    </xf>
    <xf numFmtId="9" fontId="0" fillId="0" borderId="0" xfId="0" applyNumberFormat="1"/>
    <xf numFmtId="0" fontId="0" fillId="0" borderId="6" xfId="0" quotePrefix="1" applyBorder="1" applyAlignment="1">
      <alignment horizontal="left" vertical="top"/>
    </xf>
    <xf numFmtId="0" fontId="0" fillId="0" borderId="7" xfId="0" applyBorder="1" applyAlignment="1">
      <alignment vertical="top" wrapText="1"/>
    </xf>
    <xf numFmtId="0" fontId="2" fillId="2" borderId="0" xfId="0" applyFont="1" applyFill="1" applyAlignment="1">
      <alignment horizontal="center" vertical="center" wrapText="1"/>
    </xf>
    <xf numFmtId="0" fontId="2" fillId="0" borderId="7" xfId="0" applyFont="1" applyBorder="1" applyAlignment="1">
      <alignment horizontal="center" vertical="center" wrapText="1"/>
    </xf>
    <xf numFmtId="0" fontId="0" fillId="0" borderId="0" xfId="0" applyFont="1" applyAlignment="1">
      <alignment horizontal="center" vertical="center" wrapText="1"/>
    </xf>
    <xf numFmtId="0" fontId="2" fillId="0" borderId="0" xfId="0" applyFont="1" applyBorder="1" applyAlignment="1">
      <alignment horizontal="left" vertical="top" wrapText="1"/>
    </xf>
    <xf numFmtId="0" fontId="2" fillId="0" borderId="0" xfId="0" applyFont="1" applyBorder="1" applyAlignment="1">
      <alignment horizontal="center" vertical="center" wrapText="1"/>
    </xf>
    <xf numFmtId="0" fontId="0" fillId="0" borderId="0" xfId="0" applyBorder="1"/>
    <xf numFmtId="0" fontId="7" fillId="3" borderId="0" xfId="0" applyFont="1" applyFill="1" applyAlignment="1">
      <alignment horizontal="center" vertical="center" wrapText="1"/>
    </xf>
    <xf numFmtId="0" fontId="7" fillId="3" borderId="0" xfId="0" applyFont="1" applyFill="1" applyAlignment="1">
      <alignment horizontal="center" vertical="center"/>
    </xf>
    <xf numFmtId="3" fontId="3" fillId="0" borderId="12" xfId="0" applyNumberFormat="1" applyFont="1" applyBorder="1" applyAlignment="1">
      <alignment horizontal="center" vertical="center"/>
    </xf>
    <xf numFmtId="0" fontId="7" fillId="3" borderId="0" xfId="0" applyFont="1" applyFill="1" applyAlignment="1">
      <alignment horizontal="center" vertical="center" wrapText="1"/>
    </xf>
    <xf numFmtId="3" fontId="3" fillId="4" borderId="12" xfId="0" applyNumberFormat="1" applyFont="1" applyFill="1" applyBorder="1" applyAlignment="1">
      <alignment horizontal="center" vertical="center"/>
    </xf>
    <xf numFmtId="3" fontId="6" fillId="3" borderId="0" xfId="0" applyNumberFormat="1" applyFont="1" applyFill="1"/>
    <xf numFmtId="164" fontId="0" fillId="5" borderId="15" xfId="1" applyNumberFormat="1" applyFont="1" applyFill="1" applyBorder="1" applyAlignment="1">
      <alignment horizontal="center" vertical="center"/>
    </xf>
    <xf numFmtId="164" fontId="0" fillId="5" borderId="14" xfId="1" applyNumberFormat="1" applyFont="1" applyFill="1" applyBorder="1" applyAlignment="1">
      <alignment horizontal="center" vertical="center"/>
    </xf>
    <xf numFmtId="9" fontId="3" fillId="0" borderId="12" xfId="1" applyFont="1" applyBorder="1" applyAlignment="1">
      <alignment horizontal="center" vertical="center"/>
    </xf>
    <xf numFmtId="3" fontId="0" fillId="0" borderId="0" xfId="0" applyNumberFormat="1" applyBorder="1"/>
    <xf numFmtId="10" fontId="3" fillId="0" borderId="12" xfId="1" applyNumberFormat="1" applyFont="1" applyBorder="1" applyAlignment="1">
      <alignment horizontal="center" vertical="center"/>
    </xf>
    <xf numFmtId="9" fontId="3" fillId="0" borderId="12" xfId="1" applyNumberFormat="1" applyFont="1" applyBorder="1" applyAlignment="1">
      <alignment horizontal="center" vertical="center"/>
    </xf>
    <xf numFmtId="3" fontId="3" fillId="0" borderId="16" xfId="0" applyNumberFormat="1" applyFont="1" applyBorder="1" applyAlignment="1">
      <alignment horizontal="center" vertical="center"/>
    </xf>
    <xf numFmtId="0" fontId="7" fillId="3" borderId="17" xfId="0" applyFont="1" applyFill="1" applyBorder="1" applyAlignment="1">
      <alignment horizontal="center" vertical="center" wrapText="1"/>
    </xf>
    <xf numFmtId="9" fontId="3" fillId="0" borderId="16" xfId="1" applyFont="1" applyBorder="1" applyAlignment="1">
      <alignment horizontal="center" vertical="center"/>
    </xf>
    <xf numFmtId="3" fontId="3" fillId="4" borderId="16" xfId="0" applyNumberFormat="1" applyFont="1" applyFill="1" applyBorder="1" applyAlignment="1">
      <alignment horizontal="center" vertical="center"/>
    </xf>
    <xf numFmtId="3" fontId="3" fillId="5" borderId="16" xfId="0" applyNumberFormat="1" applyFont="1" applyFill="1" applyBorder="1" applyAlignment="1">
      <alignment horizontal="center" vertical="center"/>
    </xf>
    <xf numFmtId="10" fontId="3" fillId="0" borderId="16" xfId="1" applyNumberFormat="1" applyFont="1" applyBorder="1" applyAlignment="1">
      <alignment horizontal="center" vertical="center"/>
    </xf>
    <xf numFmtId="3" fontId="9" fillId="3" borderId="0" xfId="0" applyNumberFormat="1" applyFont="1" applyFill="1"/>
    <xf numFmtId="9" fontId="0" fillId="5" borderId="14" xfId="1" applyFont="1" applyFill="1" applyBorder="1" applyAlignment="1">
      <alignment horizontal="center" vertical="center"/>
    </xf>
    <xf numFmtId="10" fontId="0" fillId="5" borderId="15" xfId="1" applyNumberFormat="1" applyFont="1" applyFill="1" applyBorder="1" applyAlignment="1">
      <alignment horizontal="center" vertical="center"/>
    </xf>
    <xf numFmtId="3" fontId="3" fillId="6" borderId="12" xfId="0" applyNumberFormat="1" applyFont="1" applyFill="1" applyBorder="1" applyAlignment="1">
      <alignment horizontal="center" vertical="center"/>
    </xf>
    <xf numFmtId="44" fontId="3" fillId="6" borderId="12" xfId="3" applyFont="1" applyFill="1" applyBorder="1" applyAlignment="1">
      <alignment horizontal="center" vertical="center"/>
    </xf>
    <xf numFmtId="0" fontId="2" fillId="6" borderId="0" xfId="0" applyFont="1" applyFill="1"/>
    <xf numFmtId="9" fontId="2" fillId="6" borderId="0" xfId="0" applyNumberFormat="1" applyFont="1" applyFill="1"/>
    <xf numFmtId="0" fontId="5" fillId="7" borderId="0" xfId="0" applyFont="1" applyFill="1"/>
    <xf numFmtId="9" fontId="5" fillId="7" borderId="0" xfId="0" applyNumberFormat="1" applyFont="1" applyFill="1"/>
    <xf numFmtId="9" fontId="2" fillId="6" borderId="0" xfId="1" applyFont="1" applyFill="1"/>
    <xf numFmtId="165" fontId="3" fillId="0" borderId="12" xfId="2" applyNumberFormat="1" applyFont="1" applyBorder="1" applyAlignment="1">
      <alignment horizontal="center" vertical="center"/>
    </xf>
    <xf numFmtId="9" fontId="3" fillId="8" borderId="12" xfId="1" applyFont="1" applyFill="1" applyBorder="1" applyAlignment="1">
      <alignment horizontal="center" vertical="center"/>
    </xf>
    <xf numFmtId="0" fontId="0" fillId="0" borderId="24" xfId="0" applyBorder="1"/>
    <xf numFmtId="0" fontId="0" fillId="0" borderId="17" xfId="0" applyBorder="1"/>
    <xf numFmtId="0" fontId="2" fillId="0" borderId="17" xfId="0" applyFont="1" applyBorder="1" applyAlignment="1">
      <alignment horizontal="center" vertical="center" wrapText="1"/>
    </xf>
    <xf numFmtId="0" fontId="10" fillId="3" borderId="0" xfId="0" applyFont="1" applyFill="1" applyAlignment="1">
      <alignment horizontal="center" vertical="center" wrapText="1"/>
    </xf>
    <xf numFmtId="3" fontId="11" fillId="0" borderId="12" xfId="0" applyNumberFormat="1" applyFont="1" applyBorder="1" applyAlignment="1">
      <alignment horizontal="center" vertical="center"/>
    </xf>
    <xf numFmtId="9" fontId="11" fillId="0" borderId="12" xfId="1" applyFont="1" applyBorder="1" applyAlignment="1">
      <alignment horizontal="center" vertical="center"/>
    </xf>
    <xf numFmtId="9" fontId="0" fillId="0" borderId="0" xfId="1" applyFont="1" applyBorder="1"/>
    <xf numFmtId="4" fontId="0" fillId="0" borderId="0" xfId="0" applyNumberFormat="1" applyBorder="1"/>
    <xf numFmtId="0" fontId="7" fillId="3" borderId="12" xfId="0" applyFont="1" applyFill="1" applyBorder="1" applyAlignment="1">
      <alignment horizontal="center" vertical="center" wrapText="1"/>
    </xf>
    <xf numFmtId="3" fontId="8" fillId="5" borderId="0" xfId="1" applyNumberFormat="1" applyFont="1" applyFill="1" applyBorder="1" applyAlignment="1"/>
    <xf numFmtId="3" fontId="3" fillId="5" borderId="0" xfId="1" applyNumberFormat="1" applyFont="1" applyFill="1" applyBorder="1" applyAlignment="1">
      <alignment horizontal="center" vertical="center"/>
    </xf>
    <xf numFmtId="9" fontId="0" fillId="0" borderId="0" xfId="0" applyNumberFormat="1" applyAlignment="1">
      <alignment horizontal="left"/>
    </xf>
    <xf numFmtId="3" fontId="0" fillId="0" borderId="0" xfId="0" applyNumberFormat="1" applyFont="1" applyBorder="1" applyAlignment="1">
      <alignment horizontal="center" vertical="center"/>
    </xf>
    <xf numFmtId="0" fontId="7" fillId="3" borderId="0" xfId="0" applyFont="1" applyFill="1" applyAlignment="1">
      <alignment horizontal="center" vertical="center" wrapText="1"/>
    </xf>
    <xf numFmtId="0" fontId="7" fillId="11" borderId="0" xfId="0" applyFont="1" applyFill="1" applyAlignment="1">
      <alignment horizontal="center" vertical="center" wrapText="1"/>
    </xf>
    <xf numFmtId="9" fontId="3" fillId="0" borderId="12" xfId="0" applyNumberFormat="1" applyFont="1" applyBorder="1" applyAlignment="1">
      <alignment horizontal="center" vertical="center"/>
    </xf>
    <xf numFmtId="1" fontId="3" fillId="0" borderId="12" xfId="1" applyNumberFormat="1" applyFont="1" applyBorder="1" applyAlignment="1">
      <alignment horizontal="center" vertical="center"/>
    </xf>
    <xf numFmtId="0" fontId="0" fillId="0" borderId="7" xfId="0" applyBorder="1"/>
    <xf numFmtId="3" fontId="0" fillId="0" borderId="7" xfId="0" applyNumberFormat="1" applyBorder="1"/>
    <xf numFmtId="9" fontId="0" fillId="0" borderId="7" xfId="1" applyFont="1" applyBorder="1"/>
    <xf numFmtId="0" fontId="0" fillId="0" borderId="0" xfId="0"/>
    <xf numFmtId="9" fontId="0" fillId="0" borderId="0" xfId="0" applyNumberFormat="1"/>
    <xf numFmtId="0" fontId="0" fillId="0" borderId="0" xfId="0" applyBorder="1" applyAlignment="1">
      <alignment horizontal="center"/>
    </xf>
    <xf numFmtId="9" fontId="3" fillId="11" borderId="12" xfId="1" applyFont="1" applyFill="1" applyBorder="1" applyAlignment="1">
      <alignment horizontal="center" vertical="center"/>
    </xf>
    <xf numFmtId="1" fontId="3" fillId="11" borderId="12" xfId="1" applyNumberFormat="1" applyFont="1" applyFill="1" applyBorder="1" applyAlignment="1">
      <alignment horizontal="center" vertical="center"/>
    </xf>
    <xf numFmtId="3" fontId="3" fillId="11" borderId="12" xfId="0" applyNumberFormat="1" applyFont="1" applyFill="1" applyBorder="1" applyAlignment="1">
      <alignment horizontal="center" vertical="center"/>
    </xf>
    <xf numFmtId="0" fontId="12" fillId="12" borderId="0" xfId="0" applyFont="1" applyFill="1" applyAlignment="1">
      <alignment horizontal="center" vertical="center" wrapText="1"/>
    </xf>
    <xf numFmtId="3" fontId="3" fillId="13" borderId="12" xfId="0" applyNumberFormat="1" applyFont="1" applyFill="1" applyBorder="1" applyAlignment="1">
      <alignment horizontal="center" vertical="center"/>
    </xf>
    <xf numFmtId="3" fontId="8" fillId="14" borderId="12" xfId="0" applyNumberFormat="1" applyFont="1" applyFill="1" applyBorder="1" applyAlignment="1">
      <alignment horizontal="center" vertical="center"/>
    </xf>
    <xf numFmtId="0" fontId="0" fillId="0" borderId="0" xfId="0" applyAlignment="1">
      <alignment horizontal="right" vertical="center"/>
    </xf>
    <xf numFmtId="0" fontId="0" fillId="15" borderId="0" xfId="0" applyFill="1"/>
    <xf numFmtId="0" fontId="0" fillId="16" borderId="0" xfId="0" applyFill="1"/>
    <xf numFmtId="0" fontId="0" fillId="3" borderId="0" xfId="0" applyFill="1"/>
    <xf numFmtId="0" fontId="0" fillId="17" borderId="0" xfId="0" applyFill="1"/>
    <xf numFmtId="0" fontId="0" fillId="18" borderId="0" xfId="0" applyFill="1"/>
    <xf numFmtId="0" fontId="0" fillId="19" borderId="0" xfId="0" applyFill="1"/>
    <xf numFmtId="0" fontId="7" fillId="11" borderId="0" xfId="0" applyFont="1" applyFill="1" applyAlignment="1">
      <alignment horizontal="center" vertical="center"/>
    </xf>
    <xf numFmtId="9" fontId="3" fillId="13" borderId="12" xfId="1" applyFont="1" applyFill="1" applyBorder="1" applyAlignment="1">
      <alignment horizontal="center" vertical="center"/>
    </xf>
    <xf numFmtId="3" fontId="8" fillId="13" borderId="12" xfId="0" applyNumberFormat="1" applyFont="1" applyFill="1" applyBorder="1" applyAlignment="1">
      <alignment horizontal="center" vertical="center"/>
    </xf>
    <xf numFmtId="0" fontId="13" fillId="12" borderId="0" xfId="0" applyFont="1" applyFill="1" applyAlignment="1">
      <alignment horizontal="center" vertical="center" wrapText="1"/>
    </xf>
    <xf numFmtId="0" fontId="14" fillId="3" borderId="0" xfId="0" applyFont="1" applyFill="1" applyAlignment="1">
      <alignment horizontal="center" vertical="center" wrapText="1"/>
    </xf>
    <xf numFmtId="0" fontId="14" fillId="3" borderId="0" xfId="0" applyFont="1" applyFill="1" applyAlignment="1">
      <alignment horizontal="center" vertical="center"/>
    </xf>
    <xf numFmtId="0" fontId="0" fillId="0" borderId="22" xfId="0" applyBorder="1"/>
    <xf numFmtId="9" fontId="3" fillId="0" borderId="12" xfId="0" applyNumberFormat="1" applyFont="1" applyBorder="1" applyAlignment="1">
      <alignment horizontal="center" vertical="center" wrapText="1"/>
    </xf>
    <xf numFmtId="0" fontId="7" fillId="3" borderId="11" xfId="0" applyFont="1" applyFill="1" applyBorder="1" applyAlignment="1">
      <alignment horizontal="center" vertical="center" wrapText="1"/>
    </xf>
    <xf numFmtId="0" fontId="7" fillId="7" borderId="9" xfId="0" applyFont="1" applyFill="1" applyBorder="1" applyAlignment="1">
      <alignment horizontal="center" vertical="center" wrapText="1"/>
    </xf>
    <xf numFmtId="0" fontId="7" fillId="7" borderId="32" xfId="0" applyFont="1" applyFill="1" applyBorder="1" applyAlignment="1">
      <alignment horizontal="center" vertical="center" wrapText="1"/>
    </xf>
    <xf numFmtId="0" fontId="7" fillId="26" borderId="11" xfId="0" applyFont="1" applyFill="1" applyBorder="1" applyAlignment="1">
      <alignment horizontal="center" vertical="center" wrapText="1"/>
    </xf>
    <xf numFmtId="0" fontId="7" fillId="26" borderId="0" xfId="0" applyFont="1" applyFill="1" applyAlignment="1">
      <alignment horizontal="center" vertical="center" wrapText="1"/>
    </xf>
    <xf numFmtId="0" fontId="7" fillId="26" borderId="33" xfId="0" applyFont="1" applyFill="1" applyBorder="1" applyAlignment="1">
      <alignment horizontal="center" vertical="center" wrapText="1"/>
    </xf>
    <xf numFmtId="9" fontId="3" fillId="26" borderId="12" xfId="0" applyNumberFormat="1" applyFont="1" applyFill="1" applyBorder="1" applyAlignment="1">
      <alignment horizontal="center" vertical="center" wrapText="1"/>
    </xf>
    <xf numFmtId="9" fontId="3" fillId="26" borderId="12" xfId="0" applyNumberFormat="1" applyFont="1" applyFill="1" applyBorder="1" applyAlignment="1">
      <alignment horizontal="center" vertical="center"/>
    </xf>
    <xf numFmtId="0" fontId="7" fillId="26" borderId="18" xfId="0" applyFont="1" applyFill="1" applyBorder="1" applyAlignment="1">
      <alignment horizontal="center" vertical="center" wrapText="1"/>
    </xf>
    <xf numFmtId="43" fontId="3" fillId="0" borderId="12" xfId="2" applyFont="1" applyBorder="1" applyAlignment="1">
      <alignment horizontal="center" vertical="center" wrapText="1"/>
    </xf>
    <xf numFmtId="165" fontId="3" fillId="0" borderId="12" xfId="2" applyNumberFormat="1" applyFont="1" applyBorder="1" applyAlignment="1">
      <alignment horizontal="center" vertical="center" wrapText="1"/>
    </xf>
    <xf numFmtId="165" fontId="3" fillId="0" borderId="12" xfId="0" applyNumberFormat="1" applyFont="1" applyBorder="1" applyAlignment="1">
      <alignment horizontal="center" vertical="center" wrapText="1"/>
    </xf>
    <xf numFmtId="10" fontId="3" fillId="6" borderId="12" xfId="1" applyNumberFormat="1" applyFont="1" applyFill="1" applyBorder="1" applyAlignment="1">
      <alignment horizontal="center" vertical="center"/>
    </xf>
    <xf numFmtId="0" fontId="14" fillId="3" borderId="0" xfId="0" applyFont="1" applyFill="1" applyAlignment="1">
      <alignment vertical="center" wrapText="1"/>
    </xf>
    <xf numFmtId="2" fontId="3" fillId="0" borderId="12" xfId="1" applyNumberFormat="1" applyFont="1" applyBorder="1" applyAlignment="1">
      <alignment horizontal="center" vertical="center"/>
    </xf>
    <xf numFmtId="2" fontId="3" fillId="28" borderId="12" xfId="1" applyNumberFormat="1" applyFont="1" applyFill="1" applyBorder="1" applyAlignment="1">
      <alignment horizontal="center" vertical="center"/>
    </xf>
    <xf numFmtId="3" fontId="3" fillId="28" borderId="12" xfId="0" applyNumberFormat="1" applyFont="1" applyFill="1" applyBorder="1" applyAlignment="1">
      <alignment horizontal="center" vertical="center"/>
    </xf>
    <xf numFmtId="3" fontId="3" fillId="27" borderId="12" xfId="0" applyNumberFormat="1" applyFont="1" applyFill="1" applyBorder="1" applyAlignment="1">
      <alignment horizontal="center" vertical="center"/>
    </xf>
    <xf numFmtId="0" fontId="12" fillId="27" borderId="0" xfId="0" applyFont="1" applyFill="1" applyAlignment="1">
      <alignment horizontal="center" vertical="center" wrapText="1"/>
    </xf>
    <xf numFmtId="3" fontId="3" fillId="5" borderId="12" xfId="0" applyNumberFormat="1" applyFont="1" applyFill="1" applyBorder="1" applyAlignment="1">
      <alignment horizontal="center" vertical="center"/>
    </xf>
    <xf numFmtId="0" fontId="5" fillId="3" borderId="0" xfId="0" applyFont="1" applyFill="1" applyAlignment="1">
      <alignment horizontal="center" vertical="center" wrapText="1"/>
    </xf>
    <xf numFmtId="0" fontId="28" fillId="3" borderId="0" xfId="0" applyFont="1" applyFill="1" applyAlignment="1">
      <alignment horizontal="center" vertical="center" wrapText="1"/>
    </xf>
    <xf numFmtId="0" fontId="13" fillId="11" borderId="0" xfId="0" applyFont="1" applyFill="1" applyAlignment="1">
      <alignment vertical="center" wrapText="1"/>
    </xf>
    <xf numFmtId="0" fontId="0" fillId="0" borderId="0" xfId="0"/>
    <xf numFmtId="10" fontId="3" fillId="0" borderId="27" xfId="1" applyNumberFormat="1" applyFont="1" applyBorder="1" applyAlignment="1">
      <alignment horizontal="center" vertical="center"/>
    </xf>
    <xf numFmtId="0" fontId="0" fillId="5" borderId="0" xfId="0" applyFill="1"/>
    <xf numFmtId="9" fontId="0" fillId="0" borderId="4" xfId="1" applyFont="1" applyBorder="1"/>
    <xf numFmtId="10" fontId="19" fillId="0" borderId="26" xfId="1" applyNumberFormat="1" applyFont="1" applyFill="1" applyBorder="1" applyAlignment="1">
      <alignment horizontal="center" vertical="center"/>
    </xf>
    <xf numFmtId="9" fontId="0" fillId="11" borderId="34" xfId="1" applyFont="1" applyFill="1" applyBorder="1" applyAlignment="1">
      <alignment horizontal="center"/>
    </xf>
    <xf numFmtId="0" fontId="0" fillId="0" borderId="26" xfId="0" applyBorder="1"/>
    <xf numFmtId="9" fontId="0" fillId="0" borderId="6" xfId="1" applyFont="1" applyBorder="1"/>
    <xf numFmtId="0" fontId="5" fillId="7" borderId="0" xfId="0" applyFont="1" applyFill="1" applyAlignment="1">
      <alignment horizontal="center"/>
    </xf>
    <xf numFmtId="0" fontId="0" fillId="0" borderId="0" xfId="0"/>
    <xf numFmtId="0" fontId="0" fillId="0" borderId="26" xfId="0" applyBorder="1" applyAlignment="1">
      <alignment horizontal="center" vertical="center"/>
    </xf>
    <xf numFmtId="9" fontId="0" fillId="11" borderId="0" xfId="1" applyFont="1" applyFill="1" applyAlignment="1"/>
    <xf numFmtId="9" fontId="0" fillId="11" borderId="34" xfId="1" applyFont="1" applyFill="1" applyBorder="1" applyAlignment="1"/>
    <xf numFmtId="0" fontId="0" fillId="0" borderId="0" xfId="0"/>
    <xf numFmtId="9" fontId="0" fillId="0" borderId="26" xfId="0" applyNumberFormat="1" applyBorder="1"/>
    <xf numFmtId="0" fontId="26" fillId="0" borderId="0" xfId="0" applyFont="1" applyFill="1" applyBorder="1" applyAlignment="1">
      <alignment vertical="center"/>
    </xf>
    <xf numFmtId="0" fontId="2" fillId="0" borderId="7" xfId="0" applyFont="1"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2" fillId="0" borderId="1" xfId="0" applyFont="1" applyBorder="1" applyAlignment="1">
      <alignment horizontal="left"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0" fillId="0" borderId="4" xfId="0" applyBorder="1" applyAlignment="1">
      <alignment horizontal="left" vertical="top" wrapText="1"/>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2" fillId="0" borderId="9" xfId="0" applyFont="1" applyBorder="1" applyAlignment="1">
      <alignment horizontal="left" vertical="top" wrapText="1"/>
    </xf>
    <xf numFmtId="0" fontId="2" fillId="0" borderId="10" xfId="0" applyFont="1" applyBorder="1" applyAlignment="1">
      <alignment horizontal="left" vertical="top" wrapText="1"/>
    </xf>
    <xf numFmtId="0" fontId="2" fillId="0" borderId="11" xfId="0" applyFont="1" applyBorder="1" applyAlignment="1">
      <alignment horizontal="left" vertical="top" wrapText="1"/>
    </xf>
    <xf numFmtId="0" fontId="2" fillId="2" borderId="0" xfId="0" applyFont="1" applyFill="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0" xfId="0" applyAlignment="1">
      <alignment horizontal="center"/>
    </xf>
    <xf numFmtId="0" fontId="0" fillId="11" borderId="34" xfId="0" applyFill="1" applyBorder="1" applyAlignment="1">
      <alignment horizontal="center"/>
    </xf>
    <xf numFmtId="0" fontId="0" fillId="11" borderId="0" xfId="0" applyFill="1" applyAlignment="1">
      <alignment horizontal="center"/>
    </xf>
    <xf numFmtId="9" fontId="6" fillId="10" borderId="0" xfId="0" applyNumberFormat="1" applyFont="1" applyFill="1" applyAlignment="1">
      <alignment horizontal="center" vertical="center"/>
    </xf>
    <xf numFmtId="9" fontId="6" fillId="9" borderId="0" xfId="0" applyNumberFormat="1" applyFont="1" applyFill="1" applyAlignment="1">
      <alignment horizontal="center" vertical="center"/>
    </xf>
    <xf numFmtId="2" fontId="6" fillId="9" borderId="0" xfId="2" applyNumberFormat="1" applyFont="1" applyFill="1" applyAlignment="1">
      <alignment horizontal="center" vertical="center"/>
    </xf>
    <xf numFmtId="2" fontId="6" fillId="10" borderId="0" xfId="2" applyNumberFormat="1" applyFont="1" applyFill="1" applyAlignment="1">
      <alignment horizontal="center" vertical="center"/>
    </xf>
    <xf numFmtId="9" fontId="0" fillId="11" borderId="34" xfId="1" applyFont="1" applyFill="1" applyBorder="1" applyAlignment="1">
      <alignment horizontal="center"/>
    </xf>
    <xf numFmtId="9" fontId="0" fillId="11" borderId="0" xfId="1" applyFont="1" applyFill="1" applyAlignment="1">
      <alignment horizontal="center"/>
    </xf>
    <xf numFmtId="0" fontId="7" fillId="3" borderId="17" xfId="0" applyFont="1" applyFill="1" applyBorder="1" applyAlignment="1">
      <alignment horizontal="center" vertical="center" wrapText="1"/>
    </xf>
    <xf numFmtId="0" fontId="7" fillId="3" borderId="22" xfId="0" applyFont="1" applyFill="1" applyBorder="1" applyAlignment="1">
      <alignment horizontal="center" vertical="center" wrapText="1"/>
    </xf>
    <xf numFmtId="0" fontId="7" fillId="3" borderId="23" xfId="0" applyFont="1" applyFill="1" applyBorder="1" applyAlignment="1">
      <alignment horizontal="center" vertical="center" wrapText="1"/>
    </xf>
    <xf numFmtId="0" fontId="7" fillId="3" borderId="0" xfId="0" applyFont="1" applyFill="1" applyAlignment="1">
      <alignment horizontal="center" vertical="center" wrapText="1"/>
    </xf>
    <xf numFmtId="0" fontId="7" fillId="3" borderId="18" xfId="0" applyFont="1" applyFill="1" applyBorder="1" applyAlignment="1">
      <alignment horizontal="center" vertical="center" wrapText="1"/>
    </xf>
    <xf numFmtId="3" fontId="3" fillId="6" borderId="19" xfId="0" applyNumberFormat="1" applyFont="1" applyFill="1" applyBorder="1" applyAlignment="1">
      <alignment horizontal="center" vertical="center" wrapText="1"/>
    </xf>
    <xf numFmtId="3" fontId="3" fillId="6" borderId="20" xfId="0" applyNumberFormat="1" applyFont="1" applyFill="1" applyBorder="1" applyAlignment="1">
      <alignment horizontal="center" vertical="center" wrapText="1"/>
    </xf>
    <xf numFmtId="3" fontId="3" fillId="6" borderId="21" xfId="0" applyNumberFormat="1" applyFont="1" applyFill="1" applyBorder="1" applyAlignment="1">
      <alignment horizontal="center" vertical="center" wrapText="1"/>
    </xf>
    <xf numFmtId="3" fontId="3" fillId="6" borderId="13" xfId="0" applyNumberFormat="1" applyFont="1" applyFill="1" applyBorder="1" applyAlignment="1">
      <alignment horizontal="center" vertical="center" wrapText="1"/>
    </xf>
    <xf numFmtId="9" fontId="3" fillId="6" borderId="12" xfId="1" applyFont="1" applyFill="1" applyBorder="1" applyAlignment="1">
      <alignment horizontal="center" vertical="center"/>
    </xf>
  </cellXfs>
  <cellStyles count="41">
    <cellStyle name="Bordure droite verte" xfId="32" xr:uid="{BC764286-B01F-45DD-BD3D-6C5F55D0FE0A}"/>
    <cellStyle name="Bordure gauche verte" xfId="34" xr:uid="{B9B2796E-C3E1-4B82-AAEE-1006BB653AF6}"/>
    <cellStyle name="Bordure inférieure" xfId="31" xr:uid="{A60A9B67-F9CC-4430-825B-98A8888767D2}"/>
    <cellStyle name="Bordure inférieure gauche verte" xfId="33" xr:uid="{78A5EC50-F306-4649-99B2-BBFCCEE8A4B9}"/>
    <cellStyle name="Bordure orange" xfId="26" xr:uid="{EC766114-6315-45C8-817F-6BD1D84C7230}"/>
    <cellStyle name="Cellule grise" xfId="28" xr:uid="{EBE6E295-82C5-4899-8DB2-6A91EB37F6B6}"/>
    <cellStyle name="Cellule jaune" xfId="27" xr:uid="{1A4C1083-A32C-4B9F-98E8-3B7F9DA23E39}"/>
    <cellStyle name="Date" xfId="35" xr:uid="{2EF0D66B-0B5E-4F16-8F83-D7CA7D7230FD}"/>
    <cellStyle name="Lien hypertexte 2" xfId="16" xr:uid="{013B625E-B89A-4EBD-98CD-AD7DAF3EBD8C}"/>
    <cellStyle name="LTG_Formula" xfId="17" xr:uid="{25EF2EF6-63B2-41E3-BCF3-9FD2709D9B3E}"/>
    <cellStyle name="Millares 11" xfId="12" xr:uid="{D4B0380C-290F-4747-9531-4DE702C273B0}"/>
    <cellStyle name="Milliers" xfId="2" builtinId="3"/>
    <cellStyle name="Milliers 2" xfId="4" xr:uid="{29EB5AB7-6766-425C-93B8-89B269BAA922}"/>
    <cellStyle name="Milliers 3" xfId="6" xr:uid="{39AB2642-DCEC-4C66-8E6C-E81F54135689}"/>
    <cellStyle name="Milliers 3 2" xfId="38" xr:uid="{382C01B9-FF30-442F-91BF-CC9F2627C5F8}"/>
    <cellStyle name="Milliers 4" xfId="20" xr:uid="{E2DAE25A-4827-4A19-A143-483BF157D018}"/>
    <cellStyle name="Milliers 5" xfId="39" xr:uid="{7F46801D-2747-4F82-87A4-44D081D3E7BF}"/>
    <cellStyle name="Mise en évidence" xfId="36" xr:uid="{42992323-658C-4C31-8B46-294B7FFF6B3E}"/>
    <cellStyle name="Monétaire" xfId="3" builtinId="4"/>
    <cellStyle name="Monétaire 2" xfId="37" xr:uid="{F8A525E5-19F4-4295-9E50-DFC5272423C5}"/>
    <cellStyle name="Monétaire 2 2" xfId="40" xr:uid="{C3E8846F-03AA-48B8-BBAD-57331B20DD49}"/>
    <cellStyle name="Normal" xfId="0" builtinId="0"/>
    <cellStyle name="Normal 15" xfId="8" xr:uid="{A21CF77A-CB71-472E-9567-28E0608E7C69}"/>
    <cellStyle name="Normal 2" xfId="5" xr:uid="{537CEED9-DE49-46AA-8113-A2CCF3AD7DF6}"/>
    <cellStyle name="Normal 2 2" xfId="18" xr:uid="{F69C3983-6F8E-42AC-B577-7254B69A5428}"/>
    <cellStyle name="Normal 2_draft SPV template" xfId="11" xr:uid="{868E8CAC-18A1-43F1-9E12-B415897C3E7B}"/>
    <cellStyle name="Normal 3" xfId="14" xr:uid="{2C67EE4A-E460-4FF7-A504-CD149ADB3C07}"/>
    <cellStyle name="Porcentual 8" xfId="9" xr:uid="{EB69D93C-6982-4C8C-A83E-0550A475232B}"/>
    <cellStyle name="Pourcentage" xfId="1" builtinId="5"/>
    <cellStyle name="Pourcentage 2" xfId="7" xr:uid="{C98C8FA9-AD8B-4346-95F4-0114CF806F9C}"/>
    <cellStyle name="Pourcentage 3" xfId="13" xr:uid="{7BF4B16F-AA0F-4704-B49A-D547FD59DC19}"/>
    <cellStyle name="QIS5CalcCell" xfId="15" xr:uid="{049537A1-146E-41F3-BAFE-ECAAC6E21EC6}"/>
    <cellStyle name="QIS5Header 2" xfId="10" xr:uid="{001EC82D-3B58-4416-B6AA-E90C54F197A2}"/>
    <cellStyle name="QIS5Param 2" xfId="19" xr:uid="{352031BC-9BD9-4BC1-9891-4A6BB78318DD}"/>
    <cellStyle name="Texte de début" xfId="24" xr:uid="{5ACC487C-BDC6-4293-AE62-8DAECCE18E58}"/>
    <cellStyle name="Texte de la colonne z A" xfId="25" xr:uid="{9490CFBF-21C3-446E-9F39-5CBB0E22819C}"/>
    <cellStyle name="Titre 2" xfId="23" xr:uid="{CAF6E406-B2C4-49E4-920A-AF27619D7FF5}"/>
    <cellStyle name="Titre 1 2" xfId="21" xr:uid="{CAD1EDB6-520D-4F9D-AB74-763E9367103C}"/>
    <cellStyle name="Titre 2 2" xfId="22" xr:uid="{88CB54ED-5780-461A-8B00-8E50E2AC6E43}"/>
    <cellStyle name="Titre 3 2" xfId="29" xr:uid="{638AD371-D600-4557-AB3C-D09A96570A84}"/>
    <cellStyle name="Titre 4 2" xfId="30" xr:uid="{90AB036B-8F04-40C5-92A3-12CFBB7F1211}"/>
  </cellStyles>
  <dxfs count="57">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theme="0" tint="-4.9989318521683403E-2"/>
        </patternFill>
      </fill>
    </dxf>
    <dxf>
      <font>
        <color theme="0"/>
      </font>
      <fill>
        <patternFill>
          <bgColor rgb="FF339966"/>
        </patternFill>
      </fill>
    </dxf>
    <dxf>
      <font>
        <color theme="0"/>
      </font>
      <fill>
        <patternFill>
          <bgColor rgb="FF359966"/>
        </patternFill>
      </fill>
    </dxf>
    <dxf>
      <font>
        <color theme="0"/>
      </font>
      <fill>
        <patternFill>
          <bgColor rgb="FF359966"/>
        </patternFill>
      </fill>
    </dxf>
  </dxfs>
  <tableStyles count="2" defaultTableStyle="TableStyleMedium2" defaultPivotStyle="PivotStyleLight16">
    <tableStyle name="Style de tableau croisé dynamique 1" table="0" count="2" xr9:uid="{8D3BFFF8-0AC0-4757-B91F-D39FCD608901}">
      <tableStyleElement type="headerRow" dxfId="56"/>
      <tableStyleElement type="totalRow" dxfId="55"/>
    </tableStyle>
    <tableStyle name="Style de tableau personnalisé" pivot="0" count="2" xr9:uid="{D21D4DE3-26C2-44CB-9FF5-865228579762}">
      <tableStyleElement type="headerRow" dxfId="54"/>
      <tableStyleElement type="firstRowStripe" dxfId="53"/>
    </tableStyle>
  </tableStyles>
  <colors>
    <mruColors>
      <color rgb="FFB9461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Triangle!$BF$5</c:f>
              <c:strCache>
                <c:ptCount val="1"/>
                <c:pt idx="0">
                  <c:v>Charge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Triangle!$BD$6:$BD$20</c:f>
              <c:numCache>
                <c:formatCode>0</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Triangle!$BF$6:$BF$20</c:f>
              <c:numCache>
                <c:formatCode>0</c:formatCode>
                <c:ptCount val="15"/>
                <c:pt idx="0">
                  <c:v>32509057.731834095</c:v>
                </c:pt>
                <c:pt idx="1">
                  <c:v>33269120.499056205</c:v>
                </c:pt>
                <c:pt idx="2">
                  <c:v>28152133.372634444</c:v>
                </c:pt>
                <c:pt idx="3">
                  <c:v>46091508.249433652</c:v>
                </c:pt>
                <c:pt idx="4">
                  <c:v>22727933.845487785</c:v>
                </c:pt>
                <c:pt idx="5">
                  <c:v>24101419.339039475</c:v>
                </c:pt>
                <c:pt idx="6">
                  <c:v>22731025.317177113</c:v>
                </c:pt>
                <c:pt idx="7">
                  <c:v>20958956.338305462</c:v>
                </c:pt>
                <c:pt idx="8">
                  <c:v>21739715.574547119</c:v>
                </c:pt>
                <c:pt idx="9">
                  <c:v>30081021.256401218</c:v>
                </c:pt>
                <c:pt idx="10">
                  <c:v>34730498.814953461</c:v>
                </c:pt>
                <c:pt idx="11">
                  <c:v>34818742.75187543</c:v>
                </c:pt>
                <c:pt idx="12">
                  <c:v>38292471.754542857</c:v>
                </c:pt>
                <c:pt idx="13">
                  <c:v>38568518.565878429</c:v>
                </c:pt>
                <c:pt idx="14">
                  <c:v>33147741.044753108</c:v>
                </c:pt>
              </c:numCache>
            </c:numRef>
          </c:val>
          <c:extLst>
            <c:ext xmlns:c16="http://schemas.microsoft.com/office/drawing/2014/chart" uri="{C3380CC4-5D6E-409C-BE32-E72D297353CC}">
              <c16:uniqueId val="{00000000-C4EE-4F61-AEB3-54C18CE8CA0A}"/>
            </c:ext>
          </c:extLst>
        </c:ser>
        <c:ser>
          <c:idx val="1"/>
          <c:order val="1"/>
          <c:tx>
            <c:strRef>
              <c:f>Triangle!$BJ$5</c:f>
              <c:strCache>
                <c:ptCount val="1"/>
                <c:pt idx="0">
                  <c:v>Montant charge cédée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Triangle!$BD$6:$BD$20</c:f>
              <c:numCache>
                <c:formatCode>0</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Triangle!$BJ$6:$BJ$20</c:f>
              <c:numCache>
                <c:formatCode>0</c:formatCode>
                <c:ptCount val="15"/>
                <c:pt idx="0">
                  <c:v>19505434.639100455</c:v>
                </c:pt>
                <c:pt idx="1">
                  <c:v>19961472.299433723</c:v>
                </c:pt>
                <c:pt idx="2">
                  <c:v>16891280.023580667</c:v>
                </c:pt>
                <c:pt idx="3">
                  <c:v>27654904.949660189</c:v>
                </c:pt>
                <c:pt idx="4">
                  <c:v>13636760.30729267</c:v>
                </c:pt>
                <c:pt idx="5">
                  <c:v>14460851.603423685</c:v>
                </c:pt>
                <c:pt idx="6">
                  <c:v>13638615.190306267</c:v>
                </c:pt>
                <c:pt idx="7">
                  <c:v>12575373.802983277</c:v>
                </c:pt>
                <c:pt idx="8">
                  <c:v>13043829.344728271</c:v>
                </c:pt>
                <c:pt idx="9">
                  <c:v>18048612.75384073</c:v>
                </c:pt>
                <c:pt idx="10">
                  <c:v>20838299.288972076</c:v>
                </c:pt>
                <c:pt idx="11">
                  <c:v>20891245.651125256</c:v>
                </c:pt>
                <c:pt idx="12">
                  <c:v>22975483.052725714</c:v>
                </c:pt>
                <c:pt idx="13">
                  <c:v>23141111.139527056</c:v>
                </c:pt>
                <c:pt idx="14">
                  <c:v>19888644.626851864</c:v>
                </c:pt>
              </c:numCache>
            </c:numRef>
          </c:val>
          <c:extLst>
            <c:ext xmlns:c16="http://schemas.microsoft.com/office/drawing/2014/chart" uri="{C3380CC4-5D6E-409C-BE32-E72D297353CC}">
              <c16:uniqueId val="{00000001-C4EE-4F61-AEB3-54C18CE8CA0A}"/>
            </c:ext>
          </c:extLst>
        </c:ser>
        <c:dLbls>
          <c:showLegendKey val="0"/>
          <c:showVal val="0"/>
          <c:showCatName val="0"/>
          <c:showSerName val="0"/>
          <c:showPercent val="0"/>
          <c:showBubbleSize val="0"/>
        </c:dLbls>
        <c:gapWidth val="100"/>
        <c:overlap val="-24"/>
        <c:axId val="569552592"/>
        <c:axId val="569552920"/>
      </c:barChart>
      <c:catAx>
        <c:axId val="569552592"/>
        <c:scaling>
          <c:orientation val="minMax"/>
        </c:scaling>
        <c:delete val="0"/>
        <c:axPos val="b"/>
        <c:numFmt formatCode="0"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69552920"/>
        <c:crosses val="autoZero"/>
        <c:auto val="1"/>
        <c:lblAlgn val="ctr"/>
        <c:lblOffset val="100"/>
        <c:noMultiLvlLbl val="0"/>
      </c:catAx>
      <c:valAx>
        <c:axId val="569552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695525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458219652525481"/>
          <c:y val="1.7090681186946646E-2"/>
          <c:w val="0.78369027928959512"/>
          <c:h val="0.72205806543926399"/>
        </c:manualLayout>
      </c:layout>
      <c:barChart>
        <c:barDir val="col"/>
        <c:grouping val="stacked"/>
        <c:varyColors val="0"/>
        <c:ser>
          <c:idx val="2"/>
          <c:order val="2"/>
          <c:tx>
            <c:strRef>
              <c:f>Triangle!$AP$84</c:f>
              <c:strCache>
                <c:ptCount val="1"/>
                <c:pt idx="0">
                  <c:v>Montant cédé</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Triangle!$AP$85:$AP$99</c:f>
              <c:numCache>
                <c:formatCode>#,##0</c:formatCode>
                <c:ptCount val="15"/>
                <c:pt idx="0">
                  <c:v>10500000</c:v>
                </c:pt>
                <c:pt idx="1">
                  <c:v>10500000</c:v>
                </c:pt>
                <c:pt idx="2">
                  <c:v>10500000</c:v>
                </c:pt>
                <c:pt idx="3">
                  <c:v>21591508.249433652</c:v>
                </c:pt>
                <c:pt idx="4">
                  <c:v>10500000</c:v>
                </c:pt>
                <c:pt idx="5">
                  <c:v>10500000</c:v>
                </c:pt>
                <c:pt idx="6">
                  <c:v>10500000</c:v>
                </c:pt>
                <c:pt idx="7">
                  <c:v>10500000</c:v>
                </c:pt>
                <c:pt idx="8">
                  <c:v>10500000</c:v>
                </c:pt>
                <c:pt idx="9">
                  <c:v>10500000</c:v>
                </c:pt>
                <c:pt idx="10">
                  <c:v>10500000</c:v>
                </c:pt>
                <c:pt idx="11">
                  <c:v>10500000</c:v>
                </c:pt>
                <c:pt idx="12">
                  <c:v>13792471.754542857</c:v>
                </c:pt>
                <c:pt idx="13">
                  <c:v>14068518.565878429</c:v>
                </c:pt>
                <c:pt idx="14">
                  <c:v>10500000</c:v>
                </c:pt>
              </c:numCache>
            </c:numRef>
          </c:val>
          <c:extLst>
            <c:ext xmlns:c16="http://schemas.microsoft.com/office/drawing/2014/chart" uri="{C3380CC4-5D6E-409C-BE32-E72D297353CC}">
              <c16:uniqueId val="{00000002-B153-4596-B8C7-4EFA7A95BF5D}"/>
            </c:ext>
          </c:extLst>
        </c:ser>
        <c:ser>
          <c:idx val="3"/>
          <c:order val="3"/>
          <c:tx>
            <c:strRef>
              <c:f>Triangle!$AQ$84</c:f>
              <c:strCache>
                <c:ptCount val="1"/>
                <c:pt idx="0">
                  <c:v>Montant rétention en dessous de la priorité</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Triangle!$AQ$85:$AQ$99</c:f>
              <c:numCache>
                <c:formatCode>#,##0</c:formatCode>
                <c:ptCount val="15"/>
                <c:pt idx="0">
                  <c:v>24500000</c:v>
                </c:pt>
                <c:pt idx="1">
                  <c:v>24500000</c:v>
                </c:pt>
                <c:pt idx="2">
                  <c:v>24500000</c:v>
                </c:pt>
                <c:pt idx="3">
                  <c:v>24500000</c:v>
                </c:pt>
                <c:pt idx="4">
                  <c:v>22727933.845487785</c:v>
                </c:pt>
                <c:pt idx="5">
                  <c:v>24101419.339039475</c:v>
                </c:pt>
                <c:pt idx="6">
                  <c:v>22731025.317177113</c:v>
                </c:pt>
                <c:pt idx="7">
                  <c:v>20958956.338305462</c:v>
                </c:pt>
                <c:pt idx="8">
                  <c:v>21739715.574547119</c:v>
                </c:pt>
                <c:pt idx="9">
                  <c:v>24500000</c:v>
                </c:pt>
                <c:pt idx="10">
                  <c:v>24500000</c:v>
                </c:pt>
                <c:pt idx="11">
                  <c:v>24500000</c:v>
                </c:pt>
                <c:pt idx="12">
                  <c:v>24500000</c:v>
                </c:pt>
                <c:pt idx="13">
                  <c:v>24500000</c:v>
                </c:pt>
                <c:pt idx="14">
                  <c:v>24500000</c:v>
                </c:pt>
              </c:numCache>
            </c:numRef>
          </c:val>
          <c:extLst>
            <c:ext xmlns:c16="http://schemas.microsoft.com/office/drawing/2014/chart" uri="{C3380CC4-5D6E-409C-BE32-E72D297353CC}">
              <c16:uniqueId val="{00000003-B153-4596-B8C7-4EFA7A95BF5D}"/>
            </c:ext>
          </c:extLst>
        </c:ser>
        <c:ser>
          <c:idx val="4"/>
          <c:order val="4"/>
          <c:tx>
            <c:strRef>
              <c:f>Triangle!$AR$84</c:f>
              <c:strCache>
                <c:ptCount val="1"/>
                <c:pt idx="0">
                  <c:v>Montant rétention au-delà de la capacité</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Triangle!$AR$85:$AR$99</c:f>
              <c:numCache>
                <c:formatCode>#,##0</c:formatCode>
                <c:ptCount val="15"/>
                <c:pt idx="0">
                  <c:v>0</c:v>
                </c:pt>
                <c:pt idx="1">
                  <c:v>0</c:v>
                </c:pt>
                <c:pt idx="2">
                  <c:v>0</c:v>
                </c:pt>
                <c:pt idx="3">
                  <c:v>11091508.249433652</c:v>
                </c:pt>
                <c:pt idx="4">
                  <c:v>0</c:v>
                </c:pt>
                <c:pt idx="5">
                  <c:v>0</c:v>
                </c:pt>
                <c:pt idx="6">
                  <c:v>0</c:v>
                </c:pt>
                <c:pt idx="7">
                  <c:v>0</c:v>
                </c:pt>
                <c:pt idx="8">
                  <c:v>0</c:v>
                </c:pt>
                <c:pt idx="9">
                  <c:v>0</c:v>
                </c:pt>
                <c:pt idx="10">
                  <c:v>0</c:v>
                </c:pt>
                <c:pt idx="11">
                  <c:v>0</c:v>
                </c:pt>
                <c:pt idx="12">
                  <c:v>3292471.7545428574</c:v>
                </c:pt>
                <c:pt idx="13">
                  <c:v>3568518.5658784285</c:v>
                </c:pt>
                <c:pt idx="14">
                  <c:v>0</c:v>
                </c:pt>
              </c:numCache>
            </c:numRef>
          </c:val>
          <c:extLst>
            <c:ext xmlns:c16="http://schemas.microsoft.com/office/drawing/2014/chart" uri="{C3380CC4-5D6E-409C-BE32-E72D297353CC}">
              <c16:uniqueId val="{00000004-B153-4596-B8C7-4EFA7A95BF5D}"/>
            </c:ext>
          </c:extLst>
        </c:ser>
        <c:dLbls>
          <c:showLegendKey val="0"/>
          <c:showVal val="0"/>
          <c:showCatName val="0"/>
          <c:showSerName val="0"/>
          <c:showPercent val="0"/>
          <c:showBubbleSize val="0"/>
        </c:dLbls>
        <c:gapWidth val="269"/>
        <c:overlap val="100"/>
        <c:axId val="575122376"/>
        <c:axId val="575123032"/>
      </c:barChart>
      <c:lineChart>
        <c:grouping val="stacked"/>
        <c:varyColors val="0"/>
        <c:ser>
          <c:idx val="1"/>
          <c:order val="1"/>
          <c:tx>
            <c:strRef>
              <c:f>Triangle!$AL$84</c:f>
              <c:strCache>
                <c:ptCount val="1"/>
                <c:pt idx="0">
                  <c:v>Capacité</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val>
            <c:numRef>
              <c:f>Triangle!$AL$85:$AL$99</c:f>
              <c:numCache>
                <c:formatCode>#,##0</c:formatCode>
                <c:ptCount val="15"/>
                <c:pt idx="0">
                  <c:v>35000000</c:v>
                </c:pt>
                <c:pt idx="1">
                  <c:v>35000000</c:v>
                </c:pt>
                <c:pt idx="2">
                  <c:v>35000000</c:v>
                </c:pt>
                <c:pt idx="3">
                  <c:v>35000000</c:v>
                </c:pt>
                <c:pt idx="4">
                  <c:v>35000000</c:v>
                </c:pt>
                <c:pt idx="5">
                  <c:v>35000000</c:v>
                </c:pt>
                <c:pt idx="6">
                  <c:v>35000000</c:v>
                </c:pt>
                <c:pt idx="7">
                  <c:v>35000000</c:v>
                </c:pt>
                <c:pt idx="8">
                  <c:v>35000000</c:v>
                </c:pt>
                <c:pt idx="9">
                  <c:v>35000000</c:v>
                </c:pt>
                <c:pt idx="10">
                  <c:v>35000000</c:v>
                </c:pt>
                <c:pt idx="11">
                  <c:v>35000000</c:v>
                </c:pt>
                <c:pt idx="12">
                  <c:v>35000000</c:v>
                </c:pt>
                <c:pt idx="13">
                  <c:v>35000000</c:v>
                </c:pt>
                <c:pt idx="14">
                  <c:v>35000000</c:v>
                </c:pt>
              </c:numCache>
            </c:numRef>
          </c:val>
          <c:smooth val="0"/>
          <c:extLst>
            <c:ext xmlns:c16="http://schemas.microsoft.com/office/drawing/2014/chart" uri="{C3380CC4-5D6E-409C-BE32-E72D297353CC}">
              <c16:uniqueId val="{00000001-B153-4596-B8C7-4EFA7A95BF5D}"/>
            </c:ext>
          </c:extLst>
        </c:ser>
        <c:dLbls>
          <c:showLegendKey val="0"/>
          <c:showVal val="0"/>
          <c:showCatName val="0"/>
          <c:showSerName val="0"/>
          <c:showPercent val="0"/>
          <c:showBubbleSize val="0"/>
        </c:dLbls>
        <c:marker val="1"/>
        <c:smooth val="0"/>
        <c:axId val="575122376"/>
        <c:axId val="575123032"/>
      </c:lineChart>
      <c:lineChart>
        <c:grouping val="stacked"/>
        <c:varyColors val="0"/>
        <c:ser>
          <c:idx val="0"/>
          <c:order val="0"/>
          <c:tx>
            <c:strRef>
              <c:f>Triangle!$AG$84</c:f>
              <c:strCache>
                <c:ptCount val="1"/>
                <c:pt idx="0">
                  <c:v>S/P priorité</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val>
            <c:numRef>
              <c:f>Triangle!$AG$85:$AG$99</c:f>
              <c:numCache>
                <c:formatCode>0%</c:formatCode>
                <c:ptCount val="15"/>
                <c:pt idx="0">
                  <c:v>0.7</c:v>
                </c:pt>
                <c:pt idx="1">
                  <c:v>0.7</c:v>
                </c:pt>
                <c:pt idx="2">
                  <c:v>0.7</c:v>
                </c:pt>
                <c:pt idx="3">
                  <c:v>0.7</c:v>
                </c:pt>
                <c:pt idx="4">
                  <c:v>0.7</c:v>
                </c:pt>
                <c:pt idx="5">
                  <c:v>0.7</c:v>
                </c:pt>
                <c:pt idx="6">
                  <c:v>0.7</c:v>
                </c:pt>
                <c:pt idx="7">
                  <c:v>0.7</c:v>
                </c:pt>
                <c:pt idx="8">
                  <c:v>0.7</c:v>
                </c:pt>
                <c:pt idx="9">
                  <c:v>0.7</c:v>
                </c:pt>
                <c:pt idx="10">
                  <c:v>0.7</c:v>
                </c:pt>
                <c:pt idx="11">
                  <c:v>0.7</c:v>
                </c:pt>
                <c:pt idx="12">
                  <c:v>0.7</c:v>
                </c:pt>
                <c:pt idx="13">
                  <c:v>0.7</c:v>
                </c:pt>
                <c:pt idx="14">
                  <c:v>0.7</c:v>
                </c:pt>
              </c:numCache>
            </c:numRef>
          </c:val>
          <c:smooth val="0"/>
          <c:extLst>
            <c:ext xmlns:c16="http://schemas.microsoft.com/office/drawing/2014/chart" uri="{C3380CC4-5D6E-409C-BE32-E72D297353CC}">
              <c16:uniqueId val="{00000000-B153-4596-B8C7-4EFA7A95BF5D}"/>
            </c:ext>
          </c:extLst>
        </c:ser>
        <c:ser>
          <c:idx val="7"/>
          <c:order val="7"/>
          <c:tx>
            <c:strRef>
              <c:f>Triangle!$AM$84</c:f>
              <c:strCache>
                <c:ptCount val="1"/>
                <c:pt idx="0">
                  <c:v>S/P</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none"/>
          </c:marker>
          <c:val>
            <c:numRef>
              <c:f>Triangle!$AM$85:$AM$99</c:f>
              <c:numCache>
                <c:formatCode>0%</c:formatCode>
                <c:ptCount val="15"/>
                <c:pt idx="0">
                  <c:v>0.92883022090954559</c:v>
                </c:pt>
                <c:pt idx="1">
                  <c:v>0.95054629997303441</c:v>
                </c:pt>
                <c:pt idx="2">
                  <c:v>0.80434666778955555</c:v>
                </c:pt>
                <c:pt idx="3">
                  <c:v>1.3169002356981043</c:v>
                </c:pt>
                <c:pt idx="4">
                  <c:v>0.64936953844250811</c:v>
                </c:pt>
                <c:pt idx="5">
                  <c:v>0.68861198111541355</c:v>
                </c:pt>
                <c:pt idx="6">
                  <c:v>0.64945786620506041</c:v>
                </c:pt>
                <c:pt idx="7">
                  <c:v>0.59882732395158467</c:v>
                </c:pt>
                <c:pt idx="8">
                  <c:v>0.62113473070134628</c:v>
                </c:pt>
                <c:pt idx="9">
                  <c:v>0.85945775018289194</c:v>
                </c:pt>
                <c:pt idx="10">
                  <c:v>0.99229996614152749</c:v>
                </c:pt>
                <c:pt idx="11">
                  <c:v>0.99482122148215513</c:v>
                </c:pt>
                <c:pt idx="12">
                  <c:v>1.0940706215583673</c:v>
                </c:pt>
                <c:pt idx="13">
                  <c:v>1.1019576733108123</c:v>
                </c:pt>
                <c:pt idx="14">
                  <c:v>0.9470783155643745</c:v>
                </c:pt>
              </c:numCache>
            </c:numRef>
          </c:val>
          <c:smooth val="0"/>
          <c:extLst>
            <c:ext xmlns:c16="http://schemas.microsoft.com/office/drawing/2014/chart" uri="{C3380CC4-5D6E-409C-BE32-E72D297353CC}">
              <c16:uniqueId val="{0000000A-B153-4596-B8C7-4EFA7A95BF5D}"/>
            </c:ext>
          </c:extLst>
        </c:ser>
        <c:dLbls>
          <c:showLegendKey val="0"/>
          <c:showVal val="0"/>
          <c:showCatName val="0"/>
          <c:showSerName val="0"/>
          <c:showPercent val="0"/>
          <c:showBubbleSize val="0"/>
        </c:dLbls>
        <c:marker val="1"/>
        <c:smooth val="0"/>
        <c:axId val="573720456"/>
        <c:axId val="573719800"/>
        <c:extLst>
          <c:ext xmlns:c15="http://schemas.microsoft.com/office/drawing/2012/chart" uri="{02D57815-91ED-43cb-92C2-25804820EDAC}">
            <c15:filteredLineSeries>
              <c15:ser>
                <c:idx val="5"/>
                <c:order val="5"/>
                <c:tx>
                  <c:strRef>
                    <c:extLst>
                      <c:ext uri="{02D57815-91ED-43cb-92C2-25804820EDAC}">
                        <c15:formulaRef>
                          <c15:sqref>Triangle!$AM$84:$AM$99</c15:sqref>
                        </c15:formulaRef>
                      </c:ext>
                    </c:extLst>
                    <c:strCache>
                      <c:ptCount val="16"/>
                      <c:pt idx="0">
                        <c:v>S/P</c:v>
                      </c:pt>
                      <c:pt idx="1">
                        <c:v>93%</c:v>
                      </c:pt>
                      <c:pt idx="2">
                        <c:v>95%</c:v>
                      </c:pt>
                      <c:pt idx="3">
                        <c:v>80%</c:v>
                      </c:pt>
                      <c:pt idx="4">
                        <c:v>132%</c:v>
                      </c:pt>
                      <c:pt idx="5">
                        <c:v>65%</c:v>
                      </c:pt>
                      <c:pt idx="6">
                        <c:v>69%</c:v>
                      </c:pt>
                      <c:pt idx="7">
                        <c:v>65%</c:v>
                      </c:pt>
                      <c:pt idx="8">
                        <c:v>60%</c:v>
                      </c:pt>
                      <c:pt idx="9">
                        <c:v>62%</c:v>
                      </c:pt>
                      <c:pt idx="10">
                        <c:v>86%</c:v>
                      </c:pt>
                      <c:pt idx="11">
                        <c:v>99%</c:v>
                      </c:pt>
                      <c:pt idx="12">
                        <c:v>99%</c:v>
                      </c:pt>
                      <c:pt idx="13">
                        <c:v>109%</c:v>
                      </c:pt>
                      <c:pt idx="14">
                        <c:v>110%</c:v>
                      </c:pt>
                      <c:pt idx="15">
                        <c:v>95%</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val>
                  <c:numRef>
                    <c:extLst>
                      <c:ext uri="{02D57815-91ED-43cb-92C2-25804820EDAC}">
                        <c15:formulaRef>
                          <c15:sqref>Triangle!$AT$85:$AT$99</c15:sqref>
                        </c15:formulaRef>
                      </c:ext>
                    </c:extLst>
                    <c:numCache>
                      <c:formatCode>0%</c:formatCode>
                      <c:ptCount val="15"/>
                      <c:pt idx="0">
                        <c:v>0.739800259893583</c:v>
                      </c:pt>
                      <c:pt idx="1">
                        <c:v>0.76534858820356988</c:v>
                      </c:pt>
                      <c:pt idx="2">
                        <c:v>0.59334902092888886</c:v>
                      </c:pt>
                      <c:pt idx="3">
                        <c:v>0.82352941176470584</c:v>
                      </c:pt>
                      <c:pt idx="4">
                        <c:v>0.41102298640295076</c:v>
                      </c:pt>
                      <c:pt idx="5">
                        <c:v>0.45719056601813363</c:v>
                      </c:pt>
                      <c:pt idx="6">
                        <c:v>0.41112690141771807</c:v>
                      </c:pt>
                      <c:pt idx="7">
                        <c:v>0.35156155759009955</c:v>
                      </c:pt>
                      <c:pt idx="8">
                        <c:v>0.37780556553099559</c:v>
                      </c:pt>
                      <c:pt idx="9">
                        <c:v>0.65818558845046116</c:v>
                      </c:pt>
                      <c:pt idx="10">
                        <c:v>0.814470548401797</c:v>
                      </c:pt>
                      <c:pt idx="11">
                        <c:v>0.81743673115547666</c:v>
                      </c:pt>
                      <c:pt idx="12">
                        <c:v>0.82352941176470584</c:v>
                      </c:pt>
                      <c:pt idx="13">
                        <c:v>0.82352941176470584</c:v>
                      </c:pt>
                      <c:pt idx="14">
                        <c:v>0.761268606546323</c:v>
                      </c:pt>
                    </c:numCache>
                  </c:numRef>
                </c:val>
                <c:smooth val="0"/>
                <c:extLst>
                  <c:ext xmlns:c16="http://schemas.microsoft.com/office/drawing/2014/chart" uri="{C3380CC4-5D6E-409C-BE32-E72D297353CC}">
                    <c16:uniqueId val="{00000005-B153-4596-B8C7-4EFA7A95BF5D}"/>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Triangle!$AM$84:$AM$99</c15:sqref>
                        </c15:formulaRef>
                      </c:ext>
                    </c:extLst>
                    <c:strCache>
                      <c:ptCount val="16"/>
                      <c:pt idx="0">
                        <c:v>S/P</c:v>
                      </c:pt>
                      <c:pt idx="1">
                        <c:v>93%</c:v>
                      </c:pt>
                      <c:pt idx="2">
                        <c:v>95%</c:v>
                      </c:pt>
                      <c:pt idx="3">
                        <c:v>80%</c:v>
                      </c:pt>
                      <c:pt idx="4">
                        <c:v>132%</c:v>
                      </c:pt>
                      <c:pt idx="5">
                        <c:v>65%</c:v>
                      </c:pt>
                      <c:pt idx="6">
                        <c:v>69%</c:v>
                      </c:pt>
                      <c:pt idx="7">
                        <c:v>65%</c:v>
                      </c:pt>
                      <c:pt idx="8">
                        <c:v>60%</c:v>
                      </c:pt>
                      <c:pt idx="9">
                        <c:v>62%</c:v>
                      </c:pt>
                      <c:pt idx="10">
                        <c:v>86%</c:v>
                      </c:pt>
                      <c:pt idx="11">
                        <c:v>99%</c:v>
                      </c:pt>
                      <c:pt idx="12">
                        <c:v>99%</c:v>
                      </c:pt>
                      <c:pt idx="13">
                        <c:v>109%</c:v>
                      </c:pt>
                      <c:pt idx="14">
                        <c:v>110%</c:v>
                      </c:pt>
                      <c:pt idx="15">
                        <c:v>95%</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val>
                  <c:numLit>
                    <c:formatCode>General</c:formatCode>
                    <c:ptCount val="1"/>
                    <c:pt idx="0">
                      <c:v>1</c:v>
                    </c:pt>
                  </c:numLit>
                </c:val>
                <c:smooth val="0"/>
                <c:extLst xmlns:c15="http://schemas.microsoft.com/office/drawing/2012/chart">
                  <c:ext xmlns:c16="http://schemas.microsoft.com/office/drawing/2014/chart" uri="{C3380CC4-5D6E-409C-BE32-E72D297353CC}">
                    <c16:uniqueId val="{00000009-B153-4596-B8C7-4EFA7A95BF5D}"/>
                  </c:ext>
                </c:extLst>
              </c15:ser>
            </c15:filteredLineSeries>
          </c:ext>
        </c:extLst>
      </c:lineChart>
      <c:catAx>
        <c:axId val="5751223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75123032"/>
        <c:crosses val="autoZero"/>
        <c:auto val="1"/>
        <c:lblAlgn val="ctr"/>
        <c:lblOffset val="100"/>
        <c:noMultiLvlLbl val="0"/>
      </c:catAx>
      <c:valAx>
        <c:axId val="5751230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75122376"/>
        <c:crosses val="autoZero"/>
        <c:crossBetween val="between"/>
      </c:valAx>
      <c:valAx>
        <c:axId val="573719800"/>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73720456"/>
        <c:crosses val="max"/>
        <c:crossBetween val="between"/>
      </c:valAx>
      <c:catAx>
        <c:axId val="573720456"/>
        <c:scaling>
          <c:orientation val="minMax"/>
        </c:scaling>
        <c:delete val="1"/>
        <c:axPos val="b"/>
        <c:majorTickMark val="out"/>
        <c:minorTickMark val="none"/>
        <c:tickLblPos val="nextTo"/>
        <c:crossAx val="57371980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Consommation</a:t>
            </a:r>
            <a:r>
              <a:rPr lang="fr-FR" baseline="0"/>
              <a:t> SCR non-vie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Triangle!$AM$141</c:f>
              <c:strCache>
                <c:ptCount val="1"/>
                <c:pt idx="0">
                  <c:v>Conso SCR QP</c:v>
                </c:pt>
              </c:strCache>
            </c:strRef>
          </c:tx>
          <c:spPr>
            <a:solidFill>
              <a:schemeClr val="accent6"/>
            </a:solidFill>
            <a:ln>
              <a:noFill/>
            </a:ln>
            <a:effectLst/>
          </c:spPr>
          <c:invertIfNegative val="0"/>
          <c:cat>
            <c:numRef>
              <c:f>Triangle!$AN$140:$AV$140</c:f>
              <c:numCache>
                <c:formatCode>0%</c:formatCode>
                <c:ptCount val="9"/>
                <c:pt idx="0">
                  <c:v>0.1</c:v>
                </c:pt>
                <c:pt idx="1">
                  <c:v>0.2</c:v>
                </c:pt>
                <c:pt idx="2">
                  <c:v>0.3</c:v>
                </c:pt>
                <c:pt idx="3">
                  <c:v>0.4</c:v>
                </c:pt>
                <c:pt idx="4">
                  <c:v>0.5</c:v>
                </c:pt>
                <c:pt idx="5">
                  <c:v>0.6</c:v>
                </c:pt>
                <c:pt idx="6">
                  <c:v>0.7</c:v>
                </c:pt>
                <c:pt idx="7">
                  <c:v>0.8</c:v>
                </c:pt>
                <c:pt idx="8">
                  <c:v>0.9</c:v>
                </c:pt>
              </c:numCache>
            </c:numRef>
          </c:cat>
          <c:val>
            <c:numRef>
              <c:f>Triangle!$AN$141:$AV$141</c:f>
              <c:numCache>
                <c:formatCode>#,##0</c:formatCode>
                <c:ptCount val="9"/>
                <c:pt idx="0">
                  <c:v>21862573</c:v>
                </c:pt>
                <c:pt idx="1">
                  <c:v>11213936</c:v>
                </c:pt>
                <c:pt idx="2">
                  <c:v>7825847</c:v>
                </c:pt>
                <c:pt idx="3">
                  <c:v>6237630</c:v>
                </c:pt>
                <c:pt idx="4">
                  <c:v>5355409</c:v>
                </c:pt>
                <c:pt idx="5">
                  <c:v>4815022</c:v>
                </c:pt>
                <c:pt idx="6">
                  <c:v>4461668</c:v>
                </c:pt>
                <c:pt idx="7">
                  <c:v>4219271</c:v>
                </c:pt>
                <c:pt idx="8">
                  <c:v>4046669</c:v>
                </c:pt>
              </c:numCache>
            </c:numRef>
          </c:val>
          <c:extLst>
            <c:ext xmlns:c16="http://schemas.microsoft.com/office/drawing/2014/chart" uri="{C3380CC4-5D6E-409C-BE32-E72D297353CC}">
              <c16:uniqueId val="{00000000-F890-45AD-AF4D-AF5E0F431047}"/>
            </c:ext>
          </c:extLst>
        </c:ser>
        <c:ser>
          <c:idx val="1"/>
          <c:order val="1"/>
          <c:tx>
            <c:strRef>
              <c:f>Triangle!$AM$142</c:f>
              <c:strCache>
                <c:ptCount val="1"/>
                <c:pt idx="0">
                  <c:v>Conso SCR SL</c:v>
                </c:pt>
              </c:strCache>
            </c:strRef>
          </c:tx>
          <c:spPr>
            <a:solidFill>
              <a:schemeClr val="accent5"/>
            </a:solidFill>
            <a:ln>
              <a:noFill/>
            </a:ln>
            <a:effectLst/>
          </c:spPr>
          <c:invertIfNegative val="0"/>
          <c:cat>
            <c:numRef>
              <c:f>Triangle!$AN$140:$AV$140</c:f>
              <c:numCache>
                <c:formatCode>0%</c:formatCode>
                <c:ptCount val="9"/>
                <c:pt idx="0">
                  <c:v>0.1</c:v>
                </c:pt>
                <c:pt idx="1">
                  <c:v>0.2</c:v>
                </c:pt>
                <c:pt idx="2">
                  <c:v>0.3</c:v>
                </c:pt>
                <c:pt idx="3">
                  <c:v>0.4</c:v>
                </c:pt>
                <c:pt idx="4">
                  <c:v>0.5</c:v>
                </c:pt>
                <c:pt idx="5">
                  <c:v>0.6</c:v>
                </c:pt>
                <c:pt idx="6">
                  <c:v>0.7</c:v>
                </c:pt>
                <c:pt idx="7">
                  <c:v>0.8</c:v>
                </c:pt>
                <c:pt idx="8">
                  <c:v>0.9</c:v>
                </c:pt>
              </c:numCache>
            </c:numRef>
          </c:cat>
          <c:val>
            <c:numRef>
              <c:f>Triangle!$AN$142:$AV$142</c:f>
              <c:numCache>
                <c:formatCode>#,##0</c:formatCode>
                <c:ptCount val="9"/>
                <c:pt idx="0">
                  <c:v>25195640</c:v>
                </c:pt>
                <c:pt idx="1">
                  <c:v>14905204</c:v>
                </c:pt>
                <c:pt idx="2">
                  <c:v>11804677</c:v>
                </c:pt>
                <c:pt idx="3">
                  <c:v>10402222</c:v>
                </c:pt>
                <c:pt idx="4">
                  <c:v>9633481</c:v>
                </c:pt>
                <c:pt idx="5">
                  <c:v>9121292</c:v>
                </c:pt>
                <c:pt idx="6">
                  <c:v>8844064</c:v>
                </c:pt>
                <c:pt idx="7">
                  <c:v>8620845</c:v>
                </c:pt>
                <c:pt idx="8">
                  <c:v>8456005</c:v>
                </c:pt>
              </c:numCache>
            </c:numRef>
          </c:val>
          <c:extLst>
            <c:ext xmlns:c16="http://schemas.microsoft.com/office/drawing/2014/chart" uri="{C3380CC4-5D6E-409C-BE32-E72D297353CC}">
              <c16:uniqueId val="{00000001-F890-45AD-AF4D-AF5E0F431047}"/>
            </c:ext>
          </c:extLst>
        </c:ser>
        <c:dLbls>
          <c:showLegendKey val="0"/>
          <c:showVal val="0"/>
          <c:showCatName val="0"/>
          <c:showSerName val="0"/>
          <c:showPercent val="0"/>
          <c:showBubbleSize val="0"/>
        </c:dLbls>
        <c:gapWidth val="219"/>
        <c:overlap val="-27"/>
        <c:axId val="617895592"/>
        <c:axId val="617900512"/>
      </c:barChart>
      <c:catAx>
        <c:axId val="617895592"/>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7900512"/>
        <c:crosses val="autoZero"/>
        <c:auto val="1"/>
        <c:lblAlgn val="ctr"/>
        <c:lblOffset val="100"/>
        <c:noMultiLvlLbl val="0"/>
      </c:catAx>
      <c:valAx>
        <c:axId val="6179005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78955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66</xdr:col>
      <xdr:colOff>116417</xdr:colOff>
      <xdr:row>3</xdr:row>
      <xdr:rowOff>141816</xdr:rowOff>
    </xdr:from>
    <xdr:to>
      <xdr:col>72</xdr:col>
      <xdr:colOff>116417</xdr:colOff>
      <xdr:row>17</xdr:row>
      <xdr:rowOff>122766</xdr:rowOff>
    </xdr:to>
    <xdr:graphicFrame macro="">
      <xdr:nvGraphicFramePr>
        <xdr:cNvPr id="3" name="Graphique 2">
          <a:extLst>
            <a:ext uri="{FF2B5EF4-FFF2-40B4-BE49-F238E27FC236}">
              <a16:creationId xmlns:a16="http://schemas.microsoft.com/office/drawing/2014/main" id="{35BFD52C-E98A-4D48-97AB-CFDB2EDDA1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46</xdr:col>
      <xdr:colOff>723899</xdr:colOff>
      <xdr:row>81</xdr:row>
      <xdr:rowOff>242887</xdr:rowOff>
    </xdr:from>
    <xdr:to>
      <xdr:col>53</xdr:col>
      <xdr:colOff>628649</xdr:colOff>
      <xdr:row>101</xdr:row>
      <xdr:rowOff>76201</xdr:rowOff>
    </xdr:to>
    <xdr:graphicFrame macro="">
      <xdr:nvGraphicFramePr>
        <xdr:cNvPr id="9" name="Graphique 8">
          <a:extLst>
            <a:ext uri="{FF2B5EF4-FFF2-40B4-BE49-F238E27FC236}">
              <a16:creationId xmlns:a16="http://schemas.microsoft.com/office/drawing/2014/main" id="{0841C345-9FCB-45E1-BEF3-1A1E2ED84F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39</xdr:col>
      <xdr:colOff>600075</xdr:colOff>
      <xdr:row>142</xdr:row>
      <xdr:rowOff>176212</xdr:rowOff>
    </xdr:from>
    <xdr:to>
      <xdr:col>45</xdr:col>
      <xdr:colOff>600075</xdr:colOff>
      <xdr:row>156</xdr:row>
      <xdr:rowOff>61912</xdr:rowOff>
    </xdr:to>
    <xdr:graphicFrame macro="">
      <xdr:nvGraphicFramePr>
        <xdr:cNvPr id="4" name="Graphique 3">
          <a:extLst>
            <a:ext uri="{FF2B5EF4-FFF2-40B4-BE49-F238E27FC236}">
              <a16:creationId xmlns:a16="http://schemas.microsoft.com/office/drawing/2014/main" id="{0B4D1EF5-F19F-461F-96AD-6A34C889AE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O38"/>
  <sheetViews>
    <sheetView showGridLines="0" topLeftCell="A31" workbookViewId="0">
      <selection activeCell="C30" sqref="C30:N30"/>
    </sheetView>
  </sheetViews>
  <sheetFormatPr baseColWidth="10" defaultColWidth="9.140625" defaultRowHeight="15" x14ac:dyDescent="0.25"/>
  <cols>
    <col min="1" max="3" width="9.140625" style="3"/>
    <col min="4" max="5" width="12.42578125" style="3" bestFit="1" customWidth="1"/>
    <col min="6" max="8" width="13.42578125" style="3" bestFit="1" customWidth="1"/>
    <col min="9" max="14" width="12.42578125" style="3" bestFit="1" customWidth="1"/>
    <col min="15" max="15" width="12.42578125" style="13" bestFit="1" customWidth="1"/>
    <col min="16" max="23" width="12.42578125" style="3" bestFit="1" customWidth="1"/>
    <col min="24" max="16384" width="9.140625" style="3"/>
  </cols>
  <sheetData>
    <row r="2" spans="1:15" ht="80.25" customHeight="1" x14ac:dyDescent="0.25">
      <c r="B2" s="149" t="s">
        <v>41</v>
      </c>
      <c r="C2" s="150"/>
      <c r="D2" s="150"/>
      <c r="E2" s="150"/>
      <c r="F2" s="150"/>
      <c r="G2" s="150"/>
      <c r="H2" s="150"/>
      <c r="I2" s="150"/>
      <c r="J2" s="150"/>
      <c r="K2" s="150"/>
      <c r="L2" s="150"/>
      <c r="M2" s="150"/>
      <c r="N2" s="150"/>
      <c r="O2" s="151"/>
    </row>
    <row r="3" spans="1:15" x14ac:dyDescent="0.25">
      <c r="B3" s="20"/>
      <c r="C3" s="20"/>
      <c r="D3" s="20"/>
      <c r="E3" s="20"/>
      <c r="F3" s="20"/>
      <c r="G3" s="20"/>
      <c r="H3" s="20"/>
      <c r="I3" s="20"/>
      <c r="J3" s="20"/>
      <c r="K3" s="20"/>
      <c r="L3" s="20"/>
      <c r="M3" s="20"/>
      <c r="N3" s="20"/>
      <c r="O3" s="20"/>
    </row>
    <row r="4" spans="1:15" x14ac:dyDescent="0.25">
      <c r="B4" s="7"/>
      <c r="C4" s="7"/>
      <c r="D4" s="7"/>
      <c r="E4" s="7"/>
      <c r="F4" s="7"/>
      <c r="G4" s="7"/>
      <c r="H4" s="7"/>
      <c r="I4" s="7"/>
      <c r="J4" s="7"/>
      <c r="K4" s="7"/>
      <c r="L4" s="7"/>
      <c r="M4" s="7"/>
      <c r="N4" s="7"/>
      <c r="O4" s="13" t="s">
        <v>8</v>
      </c>
    </row>
    <row r="5" spans="1:15" x14ac:dyDescent="0.25">
      <c r="B5" s="8" t="s">
        <v>0</v>
      </c>
      <c r="C5" s="152" t="s">
        <v>17</v>
      </c>
      <c r="D5" s="152"/>
      <c r="E5" s="152"/>
      <c r="F5" s="152"/>
      <c r="G5" s="152"/>
      <c r="H5" s="152"/>
      <c r="I5" s="152"/>
      <c r="J5" s="152"/>
      <c r="K5" s="152"/>
      <c r="L5" s="152"/>
      <c r="M5" s="152"/>
      <c r="N5" s="152"/>
      <c r="O5" s="17">
        <v>2.5</v>
      </c>
    </row>
    <row r="6" spans="1:15" x14ac:dyDescent="0.25">
      <c r="C6" s="6"/>
      <c r="D6" s="6"/>
      <c r="E6" s="6"/>
      <c r="F6" s="6"/>
      <c r="G6" s="6"/>
      <c r="H6" s="6"/>
      <c r="I6" s="6"/>
      <c r="J6" s="6"/>
      <c r="K6" s="6"/>
      <c r="L6" s="6"/>
      <c r="M6" s="6"/>
    </row>
    <row r="7" spans="1:15" ht="31.5" customHeight="1" x14ac:dyDescent="0.25">
      <c r="B7" s="8" t="s">
        <v>1</v>
      </c>
      <c r="C7" s="152" t="s">
        <v>16</v>
      </c>
      <c r="D7" s="152"/>
      <c r="E7" s="152"/>
      <c r="F7" s="152"/>
      <c r="G7" s="152"/>
      <c r="H7" s="152"/>
      <c r="I7" s="152"/>
      <c r="J7" s="152"/>
      <c r="K7" s="152"/>
      <c r="L7" s="152"/>
      <c r="M7" s="152"/>
      <c r="N7" s="152"/>
      <c r="O7" s="17">
        <v>2.5</v>
      </c>
    </row>
    <row r="8" spans="1:15" x14ac:dyDescent="0.25">
      <c r="C8" s="6"/>
      <c r="D8" s="6"/>
      <c r="E8" s="6"/>
      <c r="F8" s="6"/>
      <c r="G8" s="6"/>
      <c r="H8" s="6"/>
      <c r="I8" s="6"/>
      <c r="J8" s="6"/>
      <c r="K8" s="6"/>
      <c r="L8" s="6"/>
      <c r="M8" s="6"/>
    </row>
    <row r="9" spans="1:15" ht="34.5" customHeight="1" x14ac:dyDescent="0.25">
      <c r="B9" s="8" t="s">
        <v>2</v>
      </c>
      <c r="C9" s="152" t="s">
        <v>30</v>
      </c>
      <c r="D9" s="152"/>
      <c r="E9" s="152"/>
      <c r="F9" s="152"/>
      <c r="G9" s="152"/>
      <c r="H9" s="152"/>
      <c r="I9" s="152"/>
      <c r="J9" s="152"/>
      <c r="K9" s="152"/>
      <c r="L9" s="152"/>
      <c r="M9" s="152"/>
      <c r="N9" s="152"/>
      <c r="O9" s="17">
        <v>2.5</v>
      </c>
    </row>
    <row r="10" spans="1:15" x14ac:dyDescent="0.25">
      <c r="C10" s="6"/>
      <c r="D10" s="6"/>
      <c r="E10" s="6"/>
      <c r="F10" s="6"/>
      <c r="G10" s="6"/>
      <c r="H10" s="6"/>
      <c r="I10" s="6"/>
      <c r="J10" s="6"/>
      <c r="K10" s="6"/>
      <c r="L10" s="6"/>
      <c r="M10" s="6"/>
    </row>
    <row r="11" spans="1:15" ht="15" customHeight="1" x14ac:dyDescent="0.25">
      <c r="B11" s="8" t="s">
        <v>7</v>
      </c>
      <c r="C11" s="152" t="s">
        <v>18</v>
      </c>
      <c r="D11" s="152"/>
      <c r="E11" s="152"/>
      <c r="F11" s="152"/>
      <c r="G11" s="152"/>
      <c r="H11" s="152"/>
      <c r="I11" s="152"/>
      <c r="J11" s="152"/>
      <c r="K11" s="152"/>
      <c r="L11" s="152"/>
      <c r="M11" s="152"/>
      <c r="N11" s="152"/>
      <c r="O11" s="17">
        <f>O13+O19+O30</f>
        <v>12.5</v>
      </c>
    </row>
    <row r="12" spans="1:15" x14ac:dyDescent="0.25">
      <c r="C12" s="6"/>
      <c r="D12" s="6"/>
      <c r="E12" s="6"/>
      <c r="F12" s="6"/>
      <c r="G12" s="6"/>
      <c r="H12" s="6"/>
      <c r="I12" s="6"/>
      <c r="J12" s="6"/>
      <c r="K12" s="6"/>
      <c r="L12" s="6"/>
      <c r="M12" s="6"/>
    </row>
    <row r="13" spans="1:15" ht="15" customHeight="1" x14ac:dyDescent="0.25">
      <c r="A13" s="16"/>
      <c r="B13" s="16"/>
      <c r="C13" s="136" t="s">
        <v>19</v>
      </c>
      <c r="D13" s="136"/>
      <c r="E13" s="136"/>
      <c r="F13" s="136"/>
      <c r="G13" s="136"/>
      <c r="H13" s="136"/>
      <c r="I13" s="136"/>
      <c r="J13" s="136"/>
      <c r="K13" s="136"/>
      <c r="L13" s="136"/>
      <c r="M13" s="136"/>
      <c r="N13" s="136"/>
      <c r="O13" s="18">
        <f>SUM(O15:O17)</f>
        <v>5</v>
      </c>
    </row>
    <row r="14" spans="1:15" ht="34.5" customHeight="1" x14ac:dyDescent="0.25">
      <c r="D14" s="147" t="s">
        <v>27</v>
      </c>
      <c r="E14" s="147"/>
      <c r="F14" s="147"/>
      <c r="G14" s="147"/>
      <c r="H14" s="147"/>
      <c r="I14" s="147"/>
      <c r="J14" s="147"/>
      <c r="K14" s="147"/>
      <c r="L14" s="147"/>
      <c r="M14" s="147"/>
      <c r="N14" s="147"/>
    </row>
    <row r="15" spans="1:15" ht="15" customHeight="1" x14ac:dyDescent="0.25">
      <c r="C15" s="3" t="s">
        <v>20</v>
      </c>
      <c r="D15" s="137" t="s">
        <v>28</v>
      </c>
      <c r="E15" s="138"/>
      <c r="F15" s="138"/>
      <c r="G15" s="138"/>
      <c r="H15" s="138"/>
      <c r="I15" s="138"/>
      <c r="J15" s="138"/>
      <c r="K15" s="138"/>
      <c r="L15" s="138"/>
      <c r="M15" s="138"/>
      <c r="N15" s="139"/>
      <c r="O15" s="19">
        <v>2</v>
      </c>
    </row>
    <row r="16" spans="1:15" ht="45.75" customHeight="1" x14ac:dyDescent="0.25">
      <c r="C16" s="3" t="s">
        <v>21</v>
      </c>
      <c r="D16" s="137" t="s">
        <v>42</v>
      </c>
      <c r="E16" s="138"/>
      <c r="F16" s="138"/>
      <c r="G16" s="138"/>
      <c r="H16" s="138"/>
      <c r="I16" s="138"/>
      <c r="J16" s="138"/>
      <c r="K16" s="138"/>
      <c r="L16" s="138"/>
      <c r="M16" s="138"/>
      <c r="N16" s="139"/>
      <c r="O16" s="19">
        <v>2</v>
      </c>
    </row>
    <row r="17" spans="1:15" ht="34.5" customHeight="1" x14ac:dyDescent="0.25">
      <c r="C17" s="3" t="s">
        <v>22</v>
      </c>
      <c r="D17" s="137" t="s">
        <v>29</v>
      </c>
      <c r="E17" s="138"/>
      <c r="F17" s="138"/>
      <c r="G17" s="138"/>
      <c r="H17" s="138"/>
      <c r="I17" s="138"/>
      <c r="J17" s="138"/>
      <c r="K17" s="138"/>
      <c r="L17" s="138"/>
      <c r="M17" s="138"/>
      <c r="N17" s="139"/>
      <c r="O17" s="19">
        <v>1</v>
      </c>
    </row>
    <row r="19" spans="1:15" ht="15" customHeight="1" x14ac:dyDescent="0.25">
      <c r="A19" s="16"/>
      <c r="B19" s="16"/>
      <c r="C19" s="136" t="s">
        <v>5</v>
      </c>
      <c r="D19" s="136"/>
      <c r="E19" s="136"/>
      <c r="F19" s="136"/>
      <c r="G19" s="136">
        <v>5</v>
      </c>
      <c r="H19" s="136"/>
      <c r="I19" s="136"/>
      <c r="J19" s="136"/>
      <c r="K19" s="136"/>
      <c r="L19" s="136"/>
      <c r="M19" s="136"/>
      <c r="N19" s="136"/>
      <c r="O19" s="18">
        <f>SUM(O21:O28)</f>
        <v>5</v>
      </c>
    </row>
    <row r="20" spans="1:15" ht="15" customHeight="1" x14ac:dyDescent="0.25">
      <c r="C20" s="9"/>
      <c r="D20" s="147" t="s">
        <v>23</v>
      </c>
      <c r="E20" s="147"/>
      <c r="F20" s="147"/>
      <c r="G20" s="147"/>
      <c r="H20" s="147"/>
      <c r="I20" s="147"/>
      <c r="J20" s="147"/>
      <c r="K20" s="147"/>
      <c r="L20" s="147"/>
      <c r="M20" s="147"/>
      <c r="N20" s="147"/>
    </row>
    <row r="21" spans="1:15" ht="15" customHeight="1" x14ac:dyDescent="0.25">
      <c r="C21" s="3" t="s">
        <v>20</v>
      </c>
      <c r="D21" s="140" t="s">
        <v>35</v>
      </c>
      <c r="E21" s="141"/>
      <c r="F21" s="141"/>
      <c r="G21" s="141"/>
      <c r="H21" s="141"/>
      <c r="I21" s="141"/>
      <c r="J21" s="141"/>
      <c r="K21" s="141"/>
      <c r="L21" s="141"/>
      <c r="M21" s="141"/>
      <c r="N21" s="142"/>
    </row>
    <row r="22" spans="1:15" ht="33" customHeight="1" x14ac:dyDescent="0.25">
      <c r="D22" s="143" t="s">
        <v>31</v>
      </c>
      <c r="E22" s="144"/>
      <c r="F22" s="144"/>
      <c r="G22" s="144"/>
      <c r="H22" s="144"/>
      <c r="I22" s="144"/>
      <c r="J22" s="144"/>
      <c r="K22" s="144"/>
      <c r="L22" s="144"/>
      <c r="M22" s="144"/>
      <c r="N22" s="145"/>
      <c r="O22" s="19">
        <v>2</v>
      </c>
    </row>
    <row r="23" spans="1:15" ht="33" customHeight="1" x14ac:dyDescent="0.25">
      <c r="D23" s="146" t="s">
        <v>14</v>
      </c>
      <c r="E23" s="147"/>
      <c r="F23" s="147"/>
      <c r="G23" s="147"/>
      <c r="H23" s="147"/>
      <c r="I23" s="147"/>
      <c r="J23" s="147"/>
      <c r="K23" s="147"/>
      <c r="L23" s="147"/>
      <c r="M23" s="147"/>
      <c r="N23" s="148"/>
      <c r="O23" s="19"/>
    </row>
    <row r="24" spans="1:15" ht="15" customHeight="1" x14ac:dyDescent="0.25">
      <c r="C24" s="3" t="s">
        <v>21</v>
      </c>
      <c r="D24" s="140" t="s">
        <v>34</v>
      </c>
      <c r="E24" s="141"/>
      <c r="F24" s="141"/>
      <c r="G24" s="141"/>
      <c r="H24" s="141"/>
      <c r="I24" s="141"/>
      <c r="J24" s="141"/>
      <c r="K24" s="141"/>
      <c r="L24" s="141"/>
      <c r="M24" s="141"/>
      <c r="N24" s="142"/>
      <c r="O24" s="19"/>
    </row>
    <row r="25" spans="1:15" ht="36" customHeight="1" x14ac:dyDescent="0.25">
      <c r="D25" s="143" t="s">
        <v>32</v>
      </c>
      <c r="E25" s="144"/>
      <c r="F25" s="144"/>
      <c r="G25" s="144"/>
      <c r="H25" s="144"/>
      <c r="I25" s="144"/>
      <c r="J25" s="144"/>
      <c r="K25" s="144"/>
      <c r="L25" s="144"/>
      <c r="M25" s="144"/>
      <c r="N25" s="145"/>
      <c r="O25" s="19">
        <v>2</v>
      </c>
    </row>
    <row r="26" spans="1:15" ht="36" customHeight="1" x14ac:dyDescent="0.25">
      <c r="D26" s="146" t="s">
        <v>14</v>
      </c>
      <c r="E26" s="147"/>
      <c r="F26" s="147"/>
      <c r="G26" s="147"/>
      <c r="H26" s="147"/>
      <c r="I26" s="147"/>
      <c r="J26" s="147"/>
      <c r="K26" s="147"/>
      <c r="L26" s="147"/>
      <c r="M26" s="147"/>
      <c r="N26" s="148"/>
      <c r="O26" s="19"/>
    </row>
    <row r="27" spans="1:15" ht="15" customHeight="1" x14ac:dyDescent="0.25">
      <c r="C27" s="3" t="s">
        <v>22</v>
      </c>
      <c r="D27" s="154" t="s">
        <v>24</v>
      </c>
      <c r="E27" s="155"/>
      <c r="F27" s="155"/>
      <c r="G27" s="155"/>
      <c r="H27" s="155"/>
      <c r="I27" s="155"/>
      <c r="J27" s="155"/>
      <c r="K27" s="155"/>
      <c r="L27" s="155"/>
      <c r="M27" s="155"/>
      <c r="N27" s="156"/>
      <c r="O27" s="19">
        <v>1</v>
      </c>
    </row>
    <row r="28" spans="1:15" x14ac:dyDescent="0.25">
      <c r="D28" s="15" t="s">
        <v>15</v>
      </c>
      <c r="E28" s="4"/>
      <c r="F28" s="4"/>
      <c r="G28" s="4"/>
      <c r="H28" s="4"/>
      <c r="I28" s="4"/>
      <c r="J28" s="4"/>
      <c r="K28" s="4"/>
      <c r="L28" s="4"/>
      <c r="M28" s="4"/>
      <c r="N28" s="5"/>
    </row>
    <row r="30" spans="1:15" x14ac:dyDescent="0.25">
      <c r="A30" s="16"/>
      <c r="B30" s="16"/>
      <c r="C30" s="136" t="s">
        <v>6</v>
      </c>
      <c r="D30" s="136"/>
      <c r="E30" s="136"/>
      <c r="F30" s="136"/>
      <c r="G30" s="136"/>
      <c r="H30" s="136"/>
      <c r="I30" s="136"/>
      <c r="J30" s="136"/>
      <c r="K30" s="136"/>
      <c r="L30" s="136"/>
      <c r="M30" s="136"/>
      <c r="N30" s="136"/>
      <c r="O30" s="18">
        <f>SUM(O32:O35)</f>
        <v>2.5</v>
      </c>
    </row>
    <row r="31" spans="1:15" ht="33" customHeight="1" x14ac:dyDescent="0.25">
      <c r="D31" s="147" t="s">
        <v>9</v>
      </c>
      <c r="E31" s="147"/>
      <c r="F31" s="147"/>
      <c r="G31" s="147"/>
      <c r="H31" s="147"/>
      <c r="I31" s="147"/>
      <c r="J31" s="147"/>
      <c r="K31" s="147"/>
      <c r="L31" s="147"/>
      <c r="M31" s="147"/>
      <c r="N31" s="147"/>
    </row>
    <row r="32" spans="1:15" ht="31.5" customHeight="1" x14ac:dyDescent="0.25">
      <c r="C32" s="3" t="s">
        <v>20</v>
      </c>
      <c r="D32" s="137" t="s">
        <v>33</v>
      </c>
      <c r="E32" s="138"/>
      <c r="F32" s="138"/>
      <c r="G32" s="138"/>
      <c r="H32" s="138"/>
      <c r="I32" s="138"/>
      <c r="J32" s="138"/>
      <c r="K32" s="138"/>
      <c r="L32" s="138"/>
      <c r="M32" s="138"/>
      <c r="N32" s="139"/>
      <c r="O32" s="19">
        <v>0.25</v>
      </c>
    </row>
    <row r="33" spans="2:15" ht="33" customHeight="1" x14ac:dyDescent="0.25">
      <c r="C33" s="3" t="s">
        <v>21</v>
      </c>
      <c r="D33" s="137" t="s">
        <v>37</v>
      </c>
      <c r="E33" s="138"/>
      <c r="F33" s="138"/>
      <c r="G33" s="138"/>
      <c r="H33" s="138"/>
      <c r="I33" s="138"/>
      <c r="J33" s="138"/>
      <c r="K33" s="138"/>
      <c r="L33" s="138"/>
      <c r="M33" s="138"/>
      <c r="N33" s="139"/>
      <c r="O33" s="19">
        <v>1</v>
      </c>
    </row>
    <row r="34" spans="2:15" ht="33" customHeight="1" x14ac:dyDescent="0.25">
      <c r="C34" s="3" t="s">
        <v>22</v>
      </c>
      <c r="D34" s="137" t="s">
        <v>36</v>
      </c>
      <c r="E34" s="138"/>
      <c r="F34" s="138"/>
      <c r="G34" s="138"/>
      <c r="H34" s="138"/>
      <c r="I34" s="138"/>
      <c r="J34" s="138"/>
      <c r="K34" s="138"/>
      <c r="L34" s="138"/>
      <c r="M34" s="138"/>
      <c r="N34" s="139"/>
      <c r="O34" s="19">
        <v>1</v>
      </c>
    </row>
    <row r="35" spans="2:15" ht="15" customHeight="1" x14ac:dyDescent="0.25">
      <c r="C35" s="3" t="s">
        <v>25</v>
      </c>
      <c r="D35" s="137" t="s">
        <v>26</v>
      </c>
      <c r="E35" s="138"/>
      <c r="F35" s="138"/>
      <c r="G35" s="138"/>
      <c r="H35" s="138"/>
      <c r="I35" s="138"/>
      <c r="J35" s="138"/>
      <c r="K35" s="138"/>
      <c r="L35" s="138"/>
      <c r="M35" s="138"/>
      <c r="N35" s="139"/>
      <c r="O35" s="19">
        <v>0.25</v>
      </c>
    </row>
    <row r="37" spans="2:15" ht="15" customHeight="1" x14ac:dyDescent="0.25">
      <c r="B37" s="8" t="s">
        <v>38</v>
      </c>
      <c r="C37" s="152" t="s">
        <v>39</v>
      </c>
      <c r="D37" s="152"/>
      <c r="E37" s="152"/>
      <c r="F37" s="152"/>
      <c r="G37" s="152"/>
      <c r="H37" s="152"/>
      <c r="I37" s="152"/>
      <c r="J37" s="152"/>
      <c r="K37" s="152"/>
      <c r="L37" s="152"/>
      <c r="M37" s="152"/>
      <c r="N37" s="152"/>
      <c r="O37" s="17">
        <v>1</v>
      </c>
    </row>
    <row r="38" spans="2:15" ht="36" customHeight="1" x14ac:dyDescent="0.25">
      <c r="D38" s="153" t="s">
        <v>40</v>
      </c>
      <c r="E38" s="153"/>
      <c r="F38" s="153"/>
      <c r="G38" s="153"/>
      <c r="H38" s="153"/>
      <c r="I38" s="153"/>
      <c r="J38" s="153"/>
      <c r="K38" s="153"/>
      <c r="L38" s="153"/>
      <c r="M38" s="153"/>
      <c r="N38" s="153"/>
      <c r="O38" s="19">
        <v>1</v>
      </c>
    </row>
  </sheetData>
  <mergeCells count="27">
    <mergeCell ref="D26:N26"/>
    <mergeCell ref="C37:N37"/>
    <mergeCell ref="D38:N38"/>
    <mergeCell ref="D16:N16"/>
    <mergeCell ref="D15:N15"/>
    <mergeCell ref="D35:N35"/>
    <mergeCell ref="D34:N34"/>
    <mergeCell ref="C30:N30"/>
    <mergeCell ref="D33:N33"/>
    <mergeCell ref="D32:N32"/>
    <mergeCell ref="D31:N31"/>
    <mergeCell ref="D27:N27"/>
    <mergeCell ref="D25:N25"/>
    <mergeCell ref="D24:N24"/>
    <mergeCell ref="D20:N20"/>
    <mergeCell ref="C19:N19"/>
    <mergeCell ref="B2:O2"/>
    <mergeCell ref="C5:N5"/>
    <mergeCell ref="C7:N7"/>
    <mergeCell ref="C9:N9"/>
    <mergeCell ref="C11:N11"/>
    <mergeCell ref="C13:N13"/>
    <mergeCell ref="D17:N17"/>
    <mergeCell ref="D21:N21"/>
    <mergeCell ref="D22:N22"/>
    <mergeCell ref="D23:N23"/>
    <mergeCell ref="D14:N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33083-0F10-484B-A3C2-2DC229A7E21C}">
  <dimension ref="A1:BN185"/>
  <sheetViews>
    <sheetView showGridLines="0" tabSelected="1" topLeftCell="AG146" zoomScaleNormal="100" workbookViewId="0">
      <selection activeCell="AW140" sqref="AW140:AW142"/>
    </sheetView>
  </sheetViews>
  <sheetFormatPr baseColWidth="10" defaultRowHeight="15" x14ac:dyDescent="0.25"/>
  <cols>
    <col min="1" max="1" width="20" bestFit="1" customWidth="1"/>
    <col min="2" max="2" width="12.28515625" customWidth="1"/>
    <col min="3" max="3" width="13.7109375" customWidth="1"/>
    <col min="4" max="5" width="12" bestFit="1" customWidth="1"/>
    <col min="6" max="6" width="11" bestFit="1" customWidth="1"/>
    <col min="7" max="14" width="12" bestFit="1" customWidth="1"/>
    <col min="15" max="15" width="9.85546875" bestFit="1" customWidth="1"/>
    <col min="16" max="16" width="11.28515625" bestFit="1" customWidth="1"/>
    <col min="17" max="17" width="8.85546875" bestFit="1" customWidth="1"/>
    <col min="18" max="18" width="12" customWidth="1"/>
    <col min="19" max="19" width="19.85546875" customWidth="1"/>
    <col min="20" max="20" width="22.5703125" customWidth="1"/>
    <col min="21" max="21" width="19.85546875" customWidth="1"/>
    <col min="22" max="22" width="19.5703125" style="22" customWidth="1"/>
    <col min="23" max="23" width="25.5703125" customWidth="1"/>
    <col min="24" max="24" width="11.28515625" bestFit="1" customWidth="1"/>
    <col min="25" max="25" width="12.140625" style="54" bestFit="1" customWidth="1"/>
    <col min="26" max="26" width="11.140625" bestFit="1" customWidth="1"/>
    <col min="27" max="27" width="18.5703125" customWidth="1"/>
    <col min="28" max="28" width="11" customWidth="1"/>
    <col min="29" max="31" width="12" bestFit="1" customWidth="1"/>
    <col min="32" max="32" width="11.5703125" customWidth="1"/>
    <col min="33" max="33" width="12" customWidth="1"/>
    <col min="34" max="34" width="10.28515625" bestFit="1" customWidth="1"/>
    <col min="35" max="35" width="13.7109375" customWidth="1"/>
    <col min="36" max="36" width="11.28515625" bestFit="1" customWidth="1"/>
    <col min="37" max="37" width="10.140625" customWidth="1"/>
    <col min="46" max="46" width="11.85546875" customWidth="1"/>
    <col min="52" max="52" width="12.42578125" customWidth="1"/>
    <col min="60" max="60" width="12.28515625" customWidth="1"/>
  </cols>
  <sheetData>
    <row r="1" spans="1:65" x14ac:dyDescent="0.25">
      <c r="A1" t="s">
        <v>4</v>
      </c>
      <c r="Z1" s="164" t="s">
        <v>175</v>
      </c>
      <c r="AA1" s="165"/>
      <c r="AB1" s="165"/>
    </row>
    <row r="2" spans="1:65" s="13" customFormat="1" ht="33.75" customHeight="1" x14ac:dyDescent="0.25">
      <c r="A2" s="23" t="s">
        <v>3</v>
      </c>
      <c r="B2" s="24">
        <v>1</v>
      </c>
      <c r="C2" s="24">
        <v>2</v>
      </c>
      <c r="D2" s="24">
        <v>3</v>
      </c>
      <c r="E2" s="24">
        <v>4</v>
      </c>
      <c r="F2" s="24">
        <v>5</v>
      </c>
      <c r="G2" s="24">
        <v>6</v>
      </c>
      <c r="H2" s="24">
        <v>7</v>
      </c>
      <c r="I2" s="24">
        <v>8</v>
      </c>
      <c r="J2" s="24">
        <v>9</v>
      </c>
      <c r="K2" s="24">
        <v>10</v>
      </c>
      <c r="L2" s="24">
        <v>11</v>
      </c>
      <c r="M2" s="23">
        <v>12</v>
      </c>
      <c r="N2" s="24">
        <v>13</v>
      </c>
      <c r="O2" s="24">
        <v>14</v>
      </c>
      <c r="P2" s="24">
        <v>15</v>
      </c>
      <c r="R2" s="23"/>
      <c r="S2" s="23" t="s">
        <v>12</v>
      </c>
      <c r="T2" s="23" t="s">
        <v>11</v>
      </c>
      <c r="U2" s="36" t="s">
        <v>13</v>
      </c>
      <c r="V2" s="21"/>
      <c r="Y2" s="55"/>
    </row>
    <row r="3" spans="1:65" x14ac:dyDescent="0.25">
      <c r="A3" s="23">
        <v>2006</v>
      </c>
      <c r="B3" s="25">
        <v>20806985.16</v>
      </c>
      <c r="C3" s="25">
        <v>31443629</v>
      </c>
      <c r="D3" s="25">
        <v>32157372.759999998</v>
      </c>
      <c r="E3" s="25">
        <v>32445768.600000001</v>
      </c>
      <c r="F3" s="25">
        <v>32469872.519999996</v>
      </c>
      <c r="G3" s="25">
        <v>32490348.279999997</v>
      </c>
      <c r="H3" s="25">
        <v>32495772.68</v>
      </c>
      <c r="I3" s="25">
        <v>32497973.32</v>
      </c>
      <c r="J3" s="25">
        <v>32499286.219999999</v>
      </c>
      <c r="K3" s="25">
        <v>32500286.219999999</v>
      </c>
      <c r="L3" s="25">
        <v>32506457.159999996</v>
      </c>
      <c r="M3" s="25">
        <v>32508082.482857991</v>
      </c>
      <c r="N3" s="25">
        <v>32508732.644507647</v>
      </c>
      <c r="O3" s="25">
        <v>32509057.731834095</v>
      </c>
      <c r="P3" s="25">
        <v>32509057.731834095</v>
      </c>
      <c r="Q3" s="1"/>
      <c r="R3" s="23">
        <f>A3</f>
        <v>2006</v>
      </c>
      <c r="S3" s="25">
        <f>HLOOKUP(9^9,B3:P3,1)</f>
        <v>32509057.731834095</v>
      </c>
      <c r="T3" s="25">
        <v>32509057.731834095</v>
      </c>
      <c r="U3" s="25">
        <v>35000000</v>
      </c>
      <c r="V3" s="32"/>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13"/>
      <c r="BL3" s="13"/>
      <c r="BM3" s="13"/>
    </row>
    <row r="4" spans="1:65" x14ac:dyDescent="0.25">
      <c r="A4" s="23">
        <v>2007</v>
      </c>
      <c r="B4" s="25">
        <v>22482393.493333336</v>
      </c>
      <c r="C4" s="25">
        <v>32629776.159999996</v>
      </c>
      <c r="D4" s="25">
        <v>33130266.453333333</v>
      </c>
      <c r="E4" s="25">
        <v>33186591.120000001</v>
      </c>
      <c r="F4" s="25">
        <v>33224175.893333334</v>
      </c>
      <c r="G4" s="25">
        <v>33238369.973333329</v>
      </c>
      <c r="H4" s="25">
        <v>33238793.306666661</v>
      </c>
      <c r="I4" s="25">
        <v>33257776.933333334</v>
      </c>
      <c r="J4" s="25">
        <v>33259120.528975617</v>
      </c>
      <c r="K4" s="25">
        <v>33260143.909006301</v>
      </c>
      <c r="L4" s="25">
        <v>33266459.125772838</v>
      </c>
      <c r="M4" s="25">
        <v>33268122.44872912</v>
      </c>
      <c r="N4" s="25">
        <v>33268787.811178092</v>
      </c>
      <c r="O4" s="25">
        <v>33269120.499056205</v>
      </c>
      <c r="P4" s="25"/>
      <c r="Q4" s="1"/>
      <c r="R4" s="23">
        <f t="shared" ref="R4:R17" si="0">A4</f>
        <v>2007</v>
      </c>
      <c r="S4" s="25">
        <f t="shared" ref="S4:S16" si="1">HLOOKUP(9^9,B4:P4,1)</f>
        <v>33269120.499056205</v>
      </c>
      <c r="T4" s="25">
        <v>33269120.499056205</v>
      </c>
      <c r="U4" s="25">
        <v>35000000</v>
      </c>
      <c r="V4" s="32"/>
      <c r="Z4" s="2"/>
      <c r="AF4" s="50" t="s">
        <v>63</v>
      </c>
      <c r="AG4" s="50">
        <v>0.6</v>
      </c>
      <c r="AH4" s="2"/>
      <c r="AI4" s="2"/>
      <c r="AJ4" s="2"/>
      <c r="AK4" s="2"/>
      <c r="BA4" s="67" t="s">
        <v>81</v>
      </c>
      <c r="BB4" s="67"/>
      <c r="BC4" s="67"/>
      <c r="BD4" s="67" t="s">
        <v>82</v>
      </c>
      <c r="BE4" s="67"/>
      <c r="BF4" s="67"/>
      <c r="BG4" s="67"/>
      <c r="BH4" s="67"/>
      <c r="BI4" s="67"/>
      <c r="BJ4" s="67"/>
      <c r="BK4" s="67"/>
      <c r="BL4" s="67"/>
    </row>
    <row r="5" spans="1:65" ht="36.75" customHeight="1" x14ac:dyDescent="0.25">
      <c r="A5" s="23">
        <v>2008</v>
      </c>
      <c r="B5" s="25">
        <v>18775213.493333336</v>
      </c>
      <c r="C5" s="25">
        <v>27181945.573333334</v>
      </c>
      <c r="D5" s="25">
        <v>27995132.266666666</v>
      </c>
      <c r="E5" s="25">
        <v>28094682.906666663</v>
      </c>
      <c r="F5" s="25">
        <v>28106117.893333331</v>
      </c>
      <c r="G5" s="25">
        <v>28126836.719999999</v>
      </c>
      <c r="H5" s="25">
        <v>28133467.946666662</v>
      </c>
      <c r="I5" s="25">
        <v>28142534.514282871</v>
      </c>
      <c r="J5" s="25">
        <v>28143671.456983883</v>
      </c>
      <c r="K5" s="25">
        <v>28144537.435124647</v>
      </c>
      <c r="L5" s="25">
        <v>28149881.334272619</v>
      </c>
      <c r="M5" s="25">
        <v>28151288.828339331</v>
      </c>
      <c r="N5" s="25">
        <v>28151851.854115896</v>
      </c>
      <c r="O5" s="25"/>
      <c r="P5" s="25"/>
      <c r="Q5" s="1"/>
      <c r="R5" s="23">
        <f t="shared" si="0"/>
        <v>2008</v>
      </c>
      <c r="S5" s="25">
        <f t="shared" si="1"/>
        <v>28151851.854115896</v>
      </c>
      <c r="T5" s="25">
        <v>28151992.613375168</v>
      </c>
      <c r="U5" s="25">
        <v>35000000</v>
      </c>
      <c r="V5" s="32"/>
      <c r="Z5" s="2"/>
      <c r="AA5" s="56" t="s">
        <v>53</v>
      </c>
      <c r="AB5" s="56" t="s">
        <v>62</v>
      </c>
      <c r="AC5" s="56" t="s">
        <v>64</v>
      </c>
      <c r="AD5" s="56" t="s">
        <v>65</v>
      </c>
      <c r="AF5" s="23" t="s">
        <v>3</v>
      </c>
      <c r="AG5" s="24">
        <v>1</v>
      </c>
      <c r="AH5" s="24">
        <v>2</v>
      </c>
      <c r="AI5" s="24">
        <v>3</v>
      </c>
      <c r="AJ5" s="24">
        <v>4</v>
      </c>
      <c r="AK5" s="24">
        <v>5</v>
      </c>
      <c r="AL5" s="24">
        <v>6</v>
      </c>
      <c r="AM5" s="24">
        <v>7</v>
      </c>
      <c r="AN5" s="24">
        <v>8</v>
      </c>
      <c r="AO5" s="24">
        <v>9</v>
      </c>
      <c r="AP5" s="24">
        <v>10</v>
      </c>
      <c r="AQ5" s="24">
        <v>11</v>
      </c>
      <c r="AR5" s="23">
        <v>12</v>
      </c>
      <c r="AS5" s="24">
        <v>13</v>
      </c>
      <c r="AT5" s="24">
        <v>14</v>
      </c>
      <c r="AU5" s="24">
        <v>15</v>
      </c>
      <c r="AW5" s="23" t="s">
        <v>66</v>
      </c>
      <c r="AX5" s="23" t="s">
        <v>67</v>
      </c>
      <c r="BA5" s="26" t="s">
        <v>89</v>
      </c>
      <c r="BB5" s="26" t="s">
        <v>83</v>
      </c>
      <c r="BC5" s="26" t="s">
        <v>90</v>
      </c>
      <c r="BD5" s="26" t="s">
        <v>82</v>
      </c>
      <c r="BE5" s="26" t="s">
        <v>62</v>
      </c>
      <c r="BF5" s="26" t="s">
        <v>84</v>
      </c>
      <c r="BG5" s="67" t="s">
        <v>85</v>
      </c>
      <c r="BH5" s="67" t="s">
        <v>86</v>
      </c>
      <c r="BI5" s="67" t="s">
        <v>87</v>
      </c>
      <c r="BJ5" s="67" t="s">
        <v>88</v>
      </c>
      <c r="BK5" s="67" t="s">
        <v>102</v>
      </c>
      <c r="BL5" s="67" t="s">
        <v>103</v>
      </c>
    </row>
    <row r="6" spans="1:65" x14ac:dyDescent="0.25">
      <c r="A6" s="23">
        <v>2009</v>
      </c>
      <c r="B6" s="25">
        <v>30145403.449999996</v>
      </c>
      <c r="C6" s="25">
        <v>44481465.599999994</v>
      </c>
      <c r="D6" s="25">
        <v>45305653.799999997</v>
      </c>
      <c r="E6" s="25">
        <v>45386248.149999999</v>
      </c>
      <c r="F6" s="25">
        <v>45957136.899999999</v>
      </c>
      <c r="G6" s="25">
        <v>45972368.300000004</v>
      </c>
      <c r="H6" s="25">
        <v>45991843.25</v>
      </c>
      <c r="I6" s="25">
        <v>46075828.050000004</v>
      </c>
      <c r="J6" s="25">
        <v>46077654.150000006</v>
      </c>
      <c r="K6" s="25">
        <v>46079071.955112338</v>
      </c>
      <c r="L6" s="25">
        <v>46087821.145392261</v>
      </c>
      <c r="M6" s="25">
        <v>46090125.536449522</v>
      </c>
      <c r="N6" s="25"/>
      <c r="O6" s="25"/>
      <c r="P6" s="25"/>
      <c r="Q6" s="1"/>
      <c r="R6" s="23">
        <f t="shared" si="0"/>
        <v>2009</v>
      </c>
      <c r="S6" s="25">
        <f t="shared" si="1"/>
        <v>46090125.536449522</v>
      </c>
      <c r="T6" s="25">
        <v>46090355.987077206</v>
      </c>
      <c r="U6" s="25">
        <v>35000000</v>
      </c>
      <c r="V6" s="32"/>
      <c r="Z6" s="2"/>
      <c r="AA6" s="57">
        <f t="shared" ref="AA6:AA20" si="2">P37</f>
        <v>32509057.731834095</v>
      </c>
      <c r="AB6" s="57">
        <f>35000000</f>
        <v>35000000</v>
      </c>
      <c r="AC6" s="58">
        <f>AA6/AB6</f>
        <v>0.92883022090954559</v>
      </c>
      <c r="AD6" s="57">
        <f>(1-$AG$4)*AB6</f>
        <v>14000000</v>
      </c>
      <c r="AF6" s="23">
        <v>2006</v>
      </c>
      <c r="AG6" s="25">
        <f t="shared" ref="AG6:AG20" si="3">$AG$4*B37</f>
        <v>12484191.095999999</v>
      </c>
      <c r="AH6" s="25">
        <f t="shared" ref="AH6:AH20" si="4">$AG$4*C37</f>
        <v>18866177.399999999</v>
      </c>
      <c r="AI6" s="25">
        <f t="shared" ref="AI6:AI20" si="5">$AG$4*D37</f>
        <v>19294423.655999999</v>
      </c>
      <c r="AJ6" s="25">
        <f t="shared" ref="AJ6:AJ20" si="6">$AG$4*E37</f>
        <v>19467461.16</v>
      </c>
      <c r="AK6" s="25">
        <f t="shared" ref="AK6:AK20" si="7">$AG$4*F37</f>
        <v>19481923.511999998</v>
      </c>
      <c r="AL6" s="25">
        <f t="shared" ref="AL6:AL20" si="8">$AG$4*G37</f>
        <v>19494208.967999998</v>
      </c>
      <c r="AM6" s="25">
        <f t="shared" ref="AM6:AM20" si="9">$AG$4*H37</f>
        <v>19497463.607999999</v>
      </c>
      <c r="AN6" s="25">
        <f t="shared" ref="AN6:AN20" si="10">$AG$4*I37</f>
        <v>19498783.991999999</v>
      </c>
      <c r="AO6" s="25">
        <f t="shared" ref="AO6:AO20" si="11">$AG$4*J37</f>
        <v>19499571.731999997</v>
      </c>
      <c r="AP6" s="25">
        <f t="shared" ref="AP6:AP20" si="12">$AG$4*K37</f>
        <v>19500171.731999997</v>
      </c>
      <c r="AQ6" s="25">
        <f t="shared" ref="AQ6:AQ20" si="13">$AG$4*L37</f>
        <v>19503874.295999996</v>
      </c>
      <c r="AR6" s="25">
        <f t="shared" ref="AR6:AR20" si="14">$AG$4*M37</f>
        <v>19504849.489714794</v>
      </c>
      <c r="AS6" s="25">
        <f t="shared" ref="AS6:AS20" si="15">$AG$4*N37</f>
        <v>19505239.586704586</v>
      </c>
      <c r="AT6" s="25">
        <f t="shared" ref="AT6:AT20" si="16">$AG$4*O37</f>
        <v>19505434.639100455</v>
      </c>
      <c r="AU6" s="25">
        <f t="shared" ref="AU6:AU20" si="17">$AG$4*P37</f>
        <v>19505434.639100455</v>
      </c>
      <c r="AW6" s="25">
        <f>AA6-AU6</f>
        <v>13003623.09273364</v>
      </c>
      <c r="AX6" s="31">
        <f>AW6/AD6</f>
        <v>0.9288302209095457</v>
      </c>
      <c r="BA6" s="31">
        <v>0.6</v>
      </c>
      <c r="BB6" s="68">
        <v>0.6</v>
      </c>
      <c r="BC6" s="31">
        <v>0.2</v>
      </c>
      <c r="BD6" s="69">
        <v>1</v>
      </c>
      <c r="BE6" s="25">
        <f t="shared" ref="BE6:BE20" si="18">AB6</f>
        <v>35000000</v>
      </c>
      <c r="BF6" s="69">
        <f t="shared" ref="BF6:BF20" si="19">AA6</f>
        <v>32509057.731834095</v>
      </c>
      <c r="BG6" s="76">
        <f>BF6/BE6</f>
        <v>0.92883022090954559</v>
      </c>
      <c r="BH6" s="77">
        <f>BE6*BB6</f>
        <v>21000000</v>
      </c>
      <c r="BI6" s="78">
        <f>BH6*BC6</f>
        <v>4200000</v>
      </c>
      <c r="BJ6" s="77">
        <f>BF6*BB6</f>
        <v>19505434.639100455</v>
      </c>
      <c r="BK6" s="27">
        <f>(BE6-BH6)-(BF6-BJ6)+BI6</f>
        <v>5196376.9072663598</v>
      </c>
      <c r="BL6" s="80">
        <f>BE6-BF6</f>
        <v>2490942.268165905</v>
      </c>
    </row>
    <row r="7" spans="1:65" x14ac:dyDescent="0.25">
      <c r="A7" s="23">
        <v>2010</v>
      </c>
      <c r="B7" s="25">
        <v>15983759.633333333</v>
      </c>
      <c r="C7" s="25">
        <v>21994677.000000004</v>
      </c>
      <c r="D7" s="25">
        <v>22484793.400000002</v>
      </c>
      <c r="E7" s="25">
        <v>22602638.199999999</v>
      </c>
      <c r="F7" s="25">
        <v>22651158.800000001</v>
      </c>
      <c r="G7" s="25">
        <v>22696461.117600001</v>
      </c>
      <c r="H7" s="25">
        <v>22701647.783173602</v>
      </c>
      <c r="I7" s="25">
        <v>22720190.178505305</v>
      </c>
      <c r="J7" s="25">
        <v>22721102.325596686</v>
      </c>
      <c r="K7" s="25">
        <v>22721801.451792009</v>
      </c>
      <c r="L7" s="25">
        <v>22726115.717595756</v>
      </c>
      <c r="M7" s="25"/>
      <c r="N7" s="25"/>
      <c r="O7" s="25"/>
      <c r="P7" s="25"/>
      <c r="Q7" s="1"/>
      <c r="R7" s="23">
        <f t="shared" si="0"/>
        <v>2010</v>
      </c>
      <c r="S7" s="25">
        <f t="shared" si="1"/>
        <v>22726115.717595756</v>
      </c>
      <c r="T7" s="25">
        <v>22726229.348174345</v>
      </c>
      <c r="U7" s="25">
        <v>35000000</v>
      </c>
      <c r="V7" s="32"/>
      <c r="Z7" s="2"/>
      <c r="AA7" s="57">
        <f t="shared" si="2"/>
        <v>33269120.499056205</v>
      </c>
      <c r="AB7" s="57">
        <f t="shared" ref="AB7:AB20" si="20">35000000</f>
        <v>35000000</v>
      </c>
      <c r="AC7" s="58">
        <f t="shared" ref="AC7:AC20" si="21">AA7/AB7</f>
        <v>0.95054629997303441</v>
      </c>
      <c r="AD7" s="57">
        <f t="shared" ref="AD6:AD20" si="22">(1-$AG$4)*AB7</f>
        <v>14000000</v>
      </c>
      <c r="AF7" s="23">
        <v>2007</v>
      </c>
      <c r="AG7" s="25">
        <f t="shared" si="3"/>
        <v>13489436.096000001</v>
      </c>
      <c r="AH7" s="25">
        <f t="shared" si="4"/>
        <v>19577865.695999999</v>
      </c>
      <c r="AI7" s="25">
        <f t="shared" si="5"/>
        <v>19878159.871999998</v>
      </c>
      <c r="AJ7" s="25">
        <f t="shared" si="6"/>
        <v>19911954.671999998</v>
      </c>
      <c r="AK7" s="25">
        <f t="shared" si="7"/>
        <v>19934505.535999998</v>
      </c>
      <c r="AL7" s="25">
        <f t="shared" si="8"/>
        <v>19943021.983999997</v>
      </c>
      <c r="AM7" s="25">
        <f t="shared" si="9"/>
        <v>19943275.983999997</v>
      </c>
      <c r="AN7" s="25">
        <f t="shared" si="10"/>
        <v>19954666.16</v>
      </c>
      <c r="AO7" s="25">
        <f t="shared" si="11"/>
        <v>19955472.317385368</v>
      </c>
      <c r="AP7" s="25">
        <f t="shared" si="12"/>
        <v>19956086.345403779</v>
      </c>
      <c r="AQ7" s="25">
        <f t="shared" si="13"/>
        <v>19959875.475463703</v>
      </c>
      <c r="AR7" s="25">
        <f t="shared" si="14"/>
        <v>19960873.469237473</v>
      </c>
      <c r="AS7" s="25">
        <f t="shared" si="15"/>
        <v>19961272.686706856</v>
      </c>
      <c r="AT7" s="25">
        <f t="shared" si="16"/>
        <v>19961472.299433723</v>
      </c>
      <c r="AU7" s="44">
        <f t="shared" si="17"/>
        <v>19961472.299433723</v>
      </c>
      <c r="AW7" s="25">
        <f t="shared" ref="AW7:AW20" si="23">AA7-AU7</f>
        <v>13307648.199622482</v>
      </c>
      <c r="AX7" s="31">
        <f t="shared" ref="AX7:AX20" si="24">AW7/AD7</f>
        <v>0.95054629997303441</v>
      </c>
      <c r="BA7" s="31">
        <v>0.6</v>
      </c>
      <c r="BB7" s="68">
        <v>0.6</v>
      </c>
      <c r="BC7" s="31">
        <v>0.2</v>
      </c>
      <c r="BD7" s="69">
        <v>2</v>
      </c>
      <c r="BE7" s="25">
        <f t="shared" si="18"/>
        <v>35000000</v>
      </c>
      <c r="BF7" s="69">
        <f t="shared" si="19"/>
        <v>33269120.499056205</v>
      </c>
      <c r="BG7" s="76">
        <f t="shared" ref="BG7:BG20" si="25">BF7/BE7</f>
        <v>0.95054629997303441</v>
      </c>
      <c r="BH7" s="77">
        <f t="shared" ref="BH7:BH20" si="26">BE7*BB7</f>
        <v>21000000</v>
      </c>
      <c r="BI7" s="78">
        <f t="shared" ref="BI7:BI20" si="27">BH7*BC7</f>
        <v>4200000</v>
      </c>
      <c r="BJ7" s="77">
        <f t="shared" ref="BJ7:BJ20" si="28">BF7*BB7</f>
        <v>19961472.299433723</v>
      </c>
      <c r="BK7" s="27">
        <f t="shared" ref="BK7:BK20" si="29">(BE7-BH7)-(BF7-BJ7)+BI7</f>
        <v>4892351.8003775179</v>
      </c>
      <c r="BL7" s="80">
        <f t="shared" ref="BL7:BL20" si="30">BE7-BF7</f>
        <v>1730879.5009437948</v>
      </c>
    </row>
    <row r="8" spans="1:65" x14ac:dyDescent="0.25">
      <c r="A8" s="23">
        <v>2011</v>
      </c>
      <c r="B8" s="25">
        <v>15978380.32</v>
      </c>
      <c r="C8" s="25">
        <v>22782035.400000002</v>
      </c>
      <c r="D8" s="25">
        <v>23924404.48</v>
      </c>
      <c r="E8" s="25">
        <v>24011483.240000002</v>
      </c>
      <c r="F8" s="25">
        <v>24015146.039999999</v>
      </c>
      <c r="G8" s="25">
        <v>24063176.332079999</v>
      </c>
      <c r="H8" s="25">
        <v>24069045.502554379</v>
      </c>
      <c r="I8" s="25">
        <v>24093209.228031587</v>
      </c>
      <c r="J8" s="25">
        <v>24094174.97944491</v>
      </c>
      <c r="K8" s="25">
        <v>24094916.354957476</v>
      </c>
      <c r="L8" s="25"/>
      <c r="M8" s="25"/>
      <c r="N8" s="25"/>
      <c r="O8" s="25"/>
      <c r="P8" s="25"/>
      <c r="Q8" s="1"/>
      <c r="R8" s="23">
        <f t="shared" si="0"/>
        <v>2011</v>
      </c>
      <c r="S8" s="25">
        <f t="shared" si="1"/>
        <v>24094916.354957476</v>
      </c>
      <c r="T8" s="25">
        <v>24095036.829539251</v>
      </c>
      <c r="U8" s="25">
        <v>35000000</v>
      </c>
      <c r="V8" s="32"/>
      <c r="Z8" s="2"/>
      <c r="AA8" s="57">
        <f t="shared" si="2"/>
        <v>28152133.372634444</v>
      </c>
      <c r="AB8" s="57">
        <f t="shared" si="20"/>
        <v>35000000</v>
      </c>
      <c r="AC8" s="58">
        <f t="shared" si="21"/>
        <v>0.80434666778955555</v>
      </c>
      <c r="AD8" s="57">
        <f t="shared" si="22"/>
        <v>14000000</v>
      </c>
      <c r="AF8" s="23">
        <v>2008</v>
      </c>
      <c r="AG8" s="25">
        <f t="shared" si="3"/>
        <v>11265128.096000001</v>
      </c>
      <c r="AH8" s="25">
        <f t="shared" si="4"/>
        <v>16309167.344000001</v>
      </c>
      <c r="AI8" s="25">
        <f t="shared" si="5"/>
        <v>16797079.359999999</v>
      </c>
      <c r="AJ8" s="25">
        <f t="shared" si="6"/>
        <v>16856809.743999995</v>
      </c>
      <c r="AK8" s="25">
        <f t="shared" si="7"/>
        <v>16863670.735999998</v>
      </c>
      <c r="AL8" s="25">
        <f t="shared" si="8"/>
        <v>16876102.031999998</v>
      </c>
      <c r="AM8" s="25">
        <f t="shared" si="9"/>
        <v>16880080.767999995</v>
      </c>
      <c r="AN8" s="25">
        <f t="shared" si="10"/>
        <v>16885520.70856972</v>
      </c>
      <c r="AO8" s="25">
        <f t="shared" si="11"/>
        <v>16886202.874190331</v>
      </c>
      <c r="AP8" s="25">
        <f t="shared" si="12"/>
        <v>16886722.461074788</v>
      </c>
      <c r="AQ8" s="25">
        <f t="shared" si="13"/>
        <v>16889928.80056357</v>
      </c>
      <c r="AR8" s="25">
        <f t="shared" si="14"/>
        <v>16890773.297003597</v>
      </c>
      <c r="AS8" s="25">
        <f t="shared" si="15"/>
        <v>16891111.112469535</v>
      </c>
      <c r="AT8" s="44">
        <f t="shared" si="16"/>
        <v>16891280.023580667</v>
      </c>
      <c r="AU8" s="44">
        <f t="shared" si="17"/>
        <v>16891280.023580667</v>
      </c>
      <c r="AW8" s="25">
        <f t="shared" si="23"/>
        <v>11260853.349053778</v>
      </c>
      <c r="AX8" s="31">
        <f t="shared" si="24"/>
        <v>0.80434666778955555</v>
      </c>
      <c r="BA8" s="31">
        <v>0.6</v>
      </c>
      <c r="BB8" s="68">
        <v>0.6</v>
      </c>
      <c r="BC8" s="31">
        <v>0.2</v>
      </c>
      <c r="BD8" s="69">
        <v>3</v>
      </c>
      <c r="BE8" s="25">
        <f t="shared" si="18"/>
        <v>35000000</v>
      </c>
      <c r="BF8" s="69">
        <f t="shared" si="19"/>
        <v>28152133.372634444</v>
      </c>
      <c r="BG8" s="76">
        <f t="shared" si="25"/>
        <v>0.80434666778955555</v>
      </c>
      <c r="BH8" s="77">
        <f t="shared" si="26"/>
        <v>21000000</v>
      </c>
      <c r="BI8" s="78">
        <f t="shared" si="27"/>
        <v>4200000</v>
      </c>
      <c r="BJ8" s="77">
        <f t="shared" si="28"/>
        <v>16891280.023580667</v>
      </c>
      <c r="BK8" s="27">
        <f t="shared" si="29"/>
        <v>6939146.6509462222</v>
      </c>
      <c r="BL8" s="80">
        <f t="shared" si="30"/>
        <v>6847866.6273655556</v>
      </c>
    </row>
    <row r="9" spans="1:65" x14ac:dyDescent="0.25">
      <c r="A9" s="23">
        <v>2012</v>
      </c>
      <c r="B9" s="25">
        <v>12208423.6</v>
      </c>
      <c r="C9" s="25">
        <v>21266599.080000002</v>
      </c>
      <c r="D9" s="25">
        <v>21940107.960000001</v>
      </c>
      <c r="E9" s="25">
        <v>21947506.84</v>
      </c>
      <c r="F9" s="25">
        <v>22401887.919999998</v>
      </c>
      <c r="G9" s="25">
        <v>22457892.639799997</v>
      </c>
      <c r="H9" s="25">
        <v>22700492.239999998</v>
      </c>
      <c r="I9" s="25">
        <v>22723282.028761107</v>
      </c>
      <c r="J9" s="25">
        <v>22724192.86805724</v>
      </c>
      <c r="K9" s="25"/>
      <c r="L9" s="25"/>
      <c r="M9" s="25"/>
      <c r="N9" s="25"/>
      <c r="O9" s="25"/>
      <c r="P9" s="25"/>
      <c r="Q9" s="1"/>
      <c r="R9" s="23">
        <f t="shared" si="0"/>
        <v>2012</v>
      </c>
      <c r="S9" s="25">
        <f t="shared" si="1"/>
        <v>22724192.86805724</v>
      </c>
      <c r="T9" s="25">
        <v>22724306.489021581</v>
      </c>
      <c r="U9" s="25">
        <v>35000000</v>
      </c>
      <c r="V9" s="32"/>
      <c r="Z9" s="2"/>
      <c r="AA9" s="57">
        <f t="shared" si="2"/>
        <v>46091508.249433652</v>
      </c>
      <c r="AB9" s="57">
        <f t="shared" si="20"/>
        <v>35000000</v>
      </c>
      <c r="AC9" s="58">
        <f t="shared" si="21"/>
        <v>1.3169002356981043</v>
      </c>
      <c r="AD9" s="57">
        <f t="shared" si="22"/>
        <v>14000000</v>
      </c>
      <c r="AF9" s="23">
        <v>2009</v>
      </c>
      <c r="AG9" s="25">
        <f t="shared" si="3"/>
        <v>18087242.069999997</v>
      </c>
      <c r="AH9" s="25">
        <f t="shared" si="4"/>
        <v>26688879.359999996</v>
      </c>
      <c r="AI9" s="25">
        <f t="shared" si="5"/>
        <v>27183392.279999997</v>
      </c>
      <c r="AJ9" s="25">
        <f t="shared" si="6"/>
        <v>27231748.889999997</v>
      </c>
      <c r="AK9" s="25">
        <f t="shared" si="7"/>
        <v>27574282.139999997</v>
      </c>
      <c r="AL9" s="25">
        <f t="shared" si="8"/>
        <v>27583420.98</v>
      </c>
      <c r="AM9" s="25">
        <f t="shared" si="9"/>
        <v>27595105.949999999</v>
      </c>
      <c r="AN9" s="25">
        <f t="shared" si="10"/>
        <v>27645496.830000002</v>
      </c>
      <c r="AO9" s="25">
        <f t="shared" si="11"/>
        <v>27646592.490000002</v>
      </c>
      <c r="AP9" s="25">
        <f t="shared" si="12"/>
        <v>27647443.173067402</v>
      </c>
      <c r="AQ9" s="25">
        <f t="shared" si="13"/>
        <v>27652692.687235355</v>
      </c>
      <c r="AR9" s="25">
        <f t="shared" si="14"/>
        <v>27654075.321869712</v>
      </c>
      <c r="AS9" s="44">
        <f t="shared" si="15"/>
        <v>27654628.403376147</v>
      </c>
      <c r="AT9" s="44">
        <f t="shared" si="16"/>
        <v>27654904.949660189</v>
      </c>
      <c r="AU9" s="44">
        <f t="shared" si="17"/>
        <v>27654904.949660189</v>
      </c>
      <c r="AW9" s="25">
        <f t="shared" si="23"/>
        <v>18436603.299773462</v>
      </c>
      <c r="AX9" s="31">
        <f t="shared" si="24"/>
        <v>1.3169002356981043</v>
      </c>
      <c r="BA9" s="31">
        <v>0.6</v>
      </c>
      <c r="BB9" s="68">
        <v>0.6</v>
      </c>
      <c r="BC9" s="31">
        <v>0.2</v>
      </c>
      <c r="BD9" s="69">
        <v>4</v>
      </c>
      <c r="BE9" s="25">
        <f t="shared" si="18"/>
        <v>35000000</v>
      </c>
      <c r="BF9" s="69">
        <f t="shared" si="19"/>
        <v>46091508.249433652</v>
      </c>
      <c r="BG9" s="76">
        <f t="shared" si="25"/>
        <v>1.3169002356981043</v>
      </c>
      <c r="BH9" s="77">
        <f t="shared" si="26"/>
        <v>21000000</v>
      </c>
      <c r="BI9" s="78">
        <f t="shared" si="27"/>
        <v>4200000</v>
      </c>
      <c r="BJ9" s="77">
        <f t="shared" si="28"/>
        <v>27654904.949660189</v>
      </c>
      <c r="BK9" s="81">
        <f t="shared" si="29"/>
        <v>-236603.29977346212</v>
      </c>
      <c r="BL9" s="81">
        <f t="shared" si="30"/>
        <v>-11091508.249433652</v>
      </c>
    </row>
    <row r="10" spans="1:65" x14ac:dyDescent="0.25">
      <c r="A10" s="23">
        <v>2013</v>
      </c>
      <c r="B10" s="25">
        <v>12554609.280000001</v>
      </c>
      <c r="C10" s="25">
        <v>20319976.679999996</v>
      </c>
      <c r="D10" s="25">
        <v>20708103.079999998</v>
      </c>
      <c r="E10" s="25">
        <v>20804631.880000003</v>
      </c>
      <c r="F10" s="25">
        <v>20846241.143760003</v>
      </c>
      <c r="G10" s="25">
        <v>20887933.626047522</v>
      </c>
      <c r="H10" s="25">
        <v>20928707.943137657</v>
      </c>
      <c r="I10" s="25">
        <v>20951815.677206028</v>
      </c>
      <c r="J10" s="25"/>
      <c r="K10" s="25"/>
      <c r="L10" s="25"/>
      <c r="M10" s="25"/>
      <c r="N10" s="25"/>
      <c r="O10" s="25"/>
      <c r="P10" s="25"/>
      <c r="Q10" s="1"/>
      <c r="R10" s="23">
        <f t="shared" si="0"/>
        <v>2013</v>
      </c>
      <c r="S10" s="25">
        <f t="shared" si="1"/>
        <v>20951815.677206028</v>
      </c>
      <c r="T10" s="25">
        <v>20951920.436284415</v>
      </c>
      <c r="U10" s="25">
        <v>35000000</v>
      </c>
      <c r="V10" s="32"/>
      <c r="Z10" s="2"/>
      <c r="AA10" s="57">
        <f t="shared" si="2"/>
        <v>22727933.845487785</v>
      </c>
      <c r="AB10" s="57">
        <f t="shared" si="20"/>
        <v>35000000</v>
      </c>
      <c r="AC10" s="58">
        <f t="shared" si="21"/>
        <v>0.64936953844250811</v>
      </c>
      <c r="AD10" s="57">
        <f t="shared" si="22"/>
        <v>14000000</v>
      </c>
      <c r="AF10" s="23">
        <v>2010</v>
      </c>
      <c r="AG10" s="25">
        <f t="shared" si="3"/>
        <v>9590255.7799999993</v>
      </c>
      <c r="AH10" s="25">
        <f t="shared" si="4"/>
        <v>13196806.200000001</v>
      </c>
      <c r="AI10" s="25">
        <f t="shared" si="5"/>
        <v>13490876.040000001</v>
      </c>
      <c r="AJ10" s="25">
        <f t="shared" si="6"/>
        <v>13561582.92</v>
      </c>
      <c r="AK10" s="25">
        <f t="shared" si="7"/>
        <v>13590695.279999999</v>
      </c>
      <c r="AL10" s="25">
        <f t="shared" si="8"/>
        <v>13617876.67056</v>
      </c>
      <c r="AM10" s="25">
        <f t="shared" si="9"/>
        <v>13620988.669904161</v>
      </c>
      <c r="AN10" s="25">
        <f t="shared" si="10"/>
        <v>13632114.107103182</v>
      </c>
      <c r="AO10" s="25">
        <f t="shared" si="11"/>
        <v>13632661.395358011</v>
      </c>
      <c r="AP10" s="25">
        <f t="shared" si="12"/>
        <v>13633080.871075206</v>
      </c>
      <c r="AQ10" s="25">
        <f t="shared" si="13"/>
        <v>13635669.430557454</v>
      </c>
      <c r="AR10" s="44">
        <f t="shared" si="14"/>
        <v>13636351.214028977</v>
      </c>
      <c r="AS10" s="44">
        <f t="shared" si="15"/>
        <v>13636623.941053256</v>
      </c>
      <c r="AT10" s="44">
        <f t="shared" si="16"/>
        <v>13636760.30729267</v>
      </c>
      <c r="AU10" s="44">
        <f t="shared" si="17"/>
        <v>13636760.30729267</v>
      </c>
      <c r="AW10" s="25">
        <f t="shared" si="23"/>
        <v>9091173.5381951146</v>
      </c>
      <c r="AX10" s="31">
        <f t="shared" si="24"/>
        <v>0.64936953844250822</v>
      </c>
      <c r="BA10" s="31">
        <v>0.6</v>
      </c>
      <c r="BB10" s="68">
        <v>0.6</v>
      </c>
      <c r="BC10" s="31">
        <v>0.2</v>
      </c>
      <c r="BD10" s="69">
        <v>5</v>
      </c>
      <c r="BE10" s="25">
        <f t="shared" si="18"/>
        <v>35000000</v>
      </c>
      <c r="BF10" s="69">
        <f t="shared" si="19"/>
        <v>22727933.845487785</v>
      </c>
      <c r="BG10" s="76">
        <f t="shared" si="25"/>
        <v>0.64936953844250811</v>
      </c>
      <c r="BH10" s="77">
        <f t="shared" si="26"/>
        <v>21000000</v>
      </c>
      <c r="BI10" s="78">
        <f t="shared" si="27"/>
        <v>4200000</v>
      </c>
      <c r="BJ10" s="77">
        <f t="shared" si="28"/>
        <v>13636760.30729267</v>
      </c>
      <c r="BK10" s="27">
        <f t="shared" si="29"/>
        <v>9108826.4618048854</v>
      </c>
      <c r="BL10" s="80">
        <f t="shared" si="30"/>
        <v>12272066.154512215</v>
      </c>
    </row>
    <row r="11" spans="1:65" x14ac:dyDescent="0.25">
      <c r="A11" s="23">
        <v>2014</v>
      </c>
      <c r="B11" s="25">
        <v>13055506.32</v>
      </c>
      <c r="C11" s="25">
        <v>20980501.159999996</v>
      </c>
      <c r="D11" s="25">
        <v>21445578.199999999</v>
      </c>
      <c r="E11" s="25">
        <v>21545309.159999993</v>
      </c>
      <c r="F11" s="25">
        <v>21657730.685622897</v>
      </c>
      <c r="G11" s="25">
        <v>21682403.911298595</v>
      </c>
      <c r="H11" s="25">
        <v>21713181.444353804</v>
      </c>
      <c r="I11" s="25"/>
      <c r="J11" s="25"/>
      <c r="K11" s="25"/>
      <c r="L11" s="25"/>
      <c r="M11" s="25"/>
      <c r="N11" s="25"/>
      <c r="O11" s="25"/>
      <c r="P11" s="25"/>
      <c r="Q11" s="1"/>
      <c r="R11" s="23">
        <f t="shared" si="0"/>
        <v>2014</v>
      </c>
      <c r="S11" s="25">
        <f t="shared" si="1"/>
        <v>21713181.444353804</v>
      </c>
      <c r="T11" s="25">
        <v>21715352.762498241</v>
      </c>
      <c r="U11" s="25">
        <v>35000000</v>
      </c>
      <c r="V11" s="32"/>
      <c r="Z11" s="2"/>
      <c r="AA11" s="57">
        <f t="shared" si="2"/>
        <v>24101419.339039475</v>
      </c>
      <c r="AB11" s="57">
        <f t="shared" si="20"/>
        <v>35000000</v>
      </c>
      <c r="AC11" s="58">
        <f t="shared" si="21"/>
        <v>0.68861198111541355</v>
      </c>
      <c r="AD11" s="57">
        <f t="shared" si="22"/>
        <v>14000000</v>
      </c>
      <c r="AF11" s="23">
        <v>2011</v>
      </c>
      <c r="AG11" s="25">
        <f t="shared" si="3"/>
        <v>9587028.1919999998</v>
      </c>
      <c r="AH11" s="25">
        <f t="shared" si="4"/>
        <v>13669221.24</v>
      </c>
      <c r="AI11" s="25">
        <f t="shared" si="5"/>
        <v>14354642.687999999</v>
      </c>
      <c r="AJ11" s="25">
        <f t="shared" si="6"/>
        <v>14406889.944</v>
      </c>
      <c r="AK11" s="25">
        <f t="shared" si="7"/>
        <v>14409087.624</v>
      </c>
      <c r="AL11" s="25">
        <f t="shared" si="8"/>
        <v>14437905.799247999</v>
      </c>
      <c r="AM11" s="25">
        <f t="shared" si="9"/>
        <v>14441427.301532628</v>
      </c>
      <c r="AN11" s="25">
        <f t="shared" si="10"/>
        <v>14455925.536818951</v>
      </c>
      <c r="AO11" s="25">
        <f t="shared" si="11"/>
        <v>14456504.987666946</v>
      </c>
      <c r="AP11" s="25">
        <f t="shared" si="12"/>
        <v>14456949.812974485</v>
      </c>
      <c r="AQ11" s="44">
        <f t="shared" si="13"/>
        <v>14459694.803257801</v>
      </c>
      <c r="AR11" s="44">
        <f t="shared" si="14"/>
        <v>14460417.787997959</v>
      </c>
      <c r="AS11" s="44">
        <f t="shared" si="15"/>
        <v>14460706.996353718</v>
      </c>
      <c r="AT11" s="44">
        <f t="shared" si="16"/>
        <v>14460851.603423685</v>
      </c>
      <c r="AU11" s="44">
        <f t="shared" si="17"/>
        <v>14460851.603423685</v>
      </c>
      <c r="AW11" s="25">
        <f t="shared" si="23"/>
        <v>9640567.7356157899</v>
      </c>
      <c r="AX11" s="31">
        <f t="shared" si="24"/>
        <v>0.68861198111541355</v>
      </c>
      <c r="BA11" s="31">
        <v>0.6</v>
      </c>
      <c r="BB11" s="68">
        <v>0.6</v>
      </c>
      <c r="BC11" s="31">
        <v>0.2</v>
      </c>
      <c r="BD11" s="69">
        <v>6</v>
      </c>
      <c r="BE11" s="25">
        <f t="shared" si="18"/>
        <v>35000000</v>
      </c>
      <c r="BF11" s="69">
        <f t="shared" si="19"/>
        <v>24101419.339039475</v>
      </c>
      <c r="BG11" s="76">
        <f t="shared" si="25"/>
        <v>0.68861198111541355</v>
      </c>
      <c r="BH11" s="77">
        <f t="shared" si="26"/>
        <v>21000000</v>
      </c>
      <c r="BI11" s="78">
        <f t="shared" si="27"/>
        <v>4200000</v>
      </c>
      <c r="BJ11" s="77">
        <f t="shared" si="28"/>
        <v>14460851.603423685</v>
      </c>
      <c r="BK11" s="27">
        <f t="shared" si="29"/>
        <v>8559432.2643842101</v>
      </c>
      <c r="BL11" s="80">
        <f t="shared" si="30"/>
        <v>10898580.660960525</v>
      </c>
    </row>
    <row r="12" spans="1:65" x14ac:dyDescent="0.25">
      <c r="A12" s="23">
        <v>2015</v>
      </c>
      <c r="B12" s="25">
        <v>17932654.079999998</v>
      </c>
      <c r="C12" s="25">
        <v>28819054.359999996</v>
      </c>
      <c r="D12" s="25">
        <v>29701682.159999996</v>
      </c>
      <c r="E12" s="25">
        <v>29789999.90513223</v>
      </c>
      <c r="F12" s="25">
        <v>29965321.013442505</v>
      </c>
      <c r="G12" s="25">
        <v>30001719.696336791</v>
      </c>
      <c r="H12" s="25"/>
      <c r="I12" s="25"/>
      <c r="J12" s="25"/>
      <c r="K12" s="25"/>
      <c r="L12" s="25"/>
      <c r="M12" s="25"/>
      <c r="N12" s="25"/>
      <c r="O12" s="25"/>
      <c r="P12" s="25"/>
      <c r="Q12" s="1"/>
      <c r="R12" s="23">
        <f t="shared" si="0"/>
        <v>2015</v>
      </c>
      <c r="S12" s="25">
        <f t="shared" si="1"/>
        <v>30001719.696336791</v>
      </c>
      <c r="T12" s="25">
        <v>30016720.556184959</v>
      </c>
      <c r="U12" s="25">
        <v>35000000</v>
      </c>
      <c r="V12" s="32"/>
      <c r="Z12" s="2"/>
      <c r="AA12" s="57">
        <f t="shared" si="2"/>
        <v>22731025.317177113</v>
      </c>
      <c r="AB12" s="57">
        <f t="shared" si="20"/>
        <v>35000000</v>
      </c>
      <c r="AC12" s="58">
        <f t="shared" si="21"/>
        <v>0.64945786620506041</v>
      </c>
      <c r="AD12" s="57">
        <f t="shared" si="22"/>
        <v>14000000</v>
      </c>
      <c r="AF12" s="23">
        <v>2012</v>
      </c>
      <c r="AG12" s="25">
        <f t="shared" si="3"/>
        <v>7325054.1599999992</v>
      </c>
      <c r="AH12" s="25">
        <f t="shared" si="4"/>
        <v>12759959.448000001</v>
      </c>
      <c r="AI12" s="25">
        <f t="shared" si="5"/>
        <v>13164064.776000001</v>
      </c>
      <c r="AJ12" s="25">
        <f t="shared" si="6"/>
        <v>13168504.104</v>
      </c>
      <c r="AK12" s="25">
        <f t="shared" si="7"/>
        <v>13441132.751999998</v>
      </c>
      <c r="AL12" s="25">
        <f t="shared" si="8"/>
        <v>13474735.583879998</v>
      </c>
      <c r="AM12" s="25">
        <f t="shared" si="9"/>
        <v>13620295.343999999</v>
      </c>
      <c r="AN12" s="25">
        <f t="shared" si="10"/>
        <v>13633969.217256663</v>
      </c>
      <c r="AO12" s="25">
        <f t="shared" si="11"/>
        <v>13634515.720834343</v>
      </c>
      <c r="AP12" s="44">
        <f t="shared" si="12"/>
        <v>13634935.253608955</v>
      </c>
      <c r="AQ12" s="44">
        <f t="shared" si="13"/>
        <v>13637524.165189128</v>
      </c>
      <c r="AR12" s="44">
        <f t="shared" si="14"/>
        <v>13638206.041397383</v>
      </c>
      <c r="AS12" s="44">
        <f t="shared" si="15"/>
        <v>13638478.805518208</v>
      </c>
      <c r="AT12" s="44">
        <f t="shared" si="16"/>
        <v>13638615.190306267</v>
      </c>
      <c r="AU12" s="44">
        <f t="shared" si="17"/>
        <v>13638615.190306267</v>
      </c>
      <c r="AW12" s="25">
        <f t="shared" si="23"/>
        <v>9092410.1268708464</v>
      </c>
      <c r="AX12" s="31">
        <f t="shared" si="24"/>
        <v>0.64945786620506041</v>
      </c>
      <c r="BA12" s="31">
        <v>0.6</v>
      </c>
      <c r="BB12" s="68">
        <v>0.6</v>
      </c>
      <c r="BC12" s="31">
        <v>0.2</v>
      </c>
      <c r="BD12" s="69">
        <v>7</v>
      </c>
      <c r="BE12" s="25">
        <f t="shared" si="18"/>
        <v>35000000</v>
      </c>
      <c r="BF12" s="69">
        <f t="shared" si="19"/>
        <v>22731025.317177113</v>
      </c>
      <c r="BG12" s="76">
        <f t="shared" si="25"/>
        <v>0.64945786620506041</v>
      </c>
      <c r="BH12" s="77">
        <f t="shared" si="26"/>
        <v>21000000</v>
      </c>
      <c r="BI12" s="78">
        <f t="shared" si="27"/>
        <v>4200000</v>
      </c>
      <c r="BJ12" s="77">
        <f t="shared" si="28"/>
        <v>13638615.190306267</v>
      </c>
      <c r="BK12" s="27">
        <f t="shared" si="29"/>
        <v>9107589.8731291536</v>
      </c>
      <c r="BL12" s="80">
        <f t="shared" si="30"/>
        <v>12268974.682822887</v>
      </c>
    </row>
    <row r="13" spans="1:65" x14ac:dyDescent="0.25">
      <c r="A13" s="23">
        <v>2016</v>
      </c>
      <c r="B13" s="25">
        <v>18240562.799999997</v>
      </c>
      <c r="C13" s="25">
        <v>33952022.600000001</v>
      </c>
      <c r="D13" s="25">
        <v>34229225.079999998</v>
      </c>
      <c r="E13" s="25">
        <v>34396811.960000001</v>
      </c>
      <c r="F13" s="25">
        <v>34599245.233392805</v>
      </c>
      <c r="G13" s="25"/>
      <c r="H13" s="25"/>
      <c r="I13" s="25"/>
      <c r="J13" s="25"/>
      <c r="K13" s="25"/>
      <c r="L13" s="25"/>
      <c r="M13" s="25"/>
      <c r="N13" s="25"/>
      <c r="O13" s="25"/>
      <c r="P13" s="25"/>
      <c r="Q13" s="1"/>
      <c r="R13" s="23">
        <f t="shared" si="0"/>
        <v>2016</v>
      </c>
      <c r="S13" s="25">
        <f t="shared" si="1"/>
        <v>34599245.233392805</v>
      </c>
      <c r="T13" s="25">
        <v>34616544.856009498</v>
      </c>
      <c r="U13" s="25">
        <v>35000000</v>
      </c>
      <c r="V13" s="32"/>
      <c r="Z13" s="2"/>
      <c r="AA13" s="57">
        <f t="shared" si="2"/>
        <v>20958956.338305462</v>
      </c>
      <c r="AB13" s="57">
        <f t="shared" si="20"/>
        <v>35000000</v>
      </c>
      <c r="AC13" s="58">
        <f t="shared" si="21"/>
        <v>0.59882732395158467</v>
      </c>
      <c r="AD13" s="57">
        <f t="shared" si="22"/>
        <v>14000000</v>
      </c>
      <c r="AF13" s="23">
        <v>2013</v>
      </c>
      <c r="AG13" s="25">
        <f t="shared" si="3"/>
        <v>7532765.5680000009</v>
      </c>
      <c r="AH13" s="25">
        <f t="shared" si="4"/>
        <v>12191986.007999998</v>
      </c>
      <c r="AI13" s="25">
        <f t="shared" si="5"/>
        <v>12424861.847999999</v>
      </c>
      <c r="AJ13" s="25">
        <f t="shared" si="6"/>
        <v>12482779.128</v>
      </c>
      <c r="AK13" s="25">
        <f t="shared" si="7"/>
        <v>12507744.686256001</v>
      </c>
      <c r="AL13" s="25">
        <f t="shared" si="8"/>
        <v>12532760.175628513</v>
      </c>
      <c r="AM13" s="25">
        <f t="shared" si="9"/>
        <v>12557224.765882595</v>
      </c>
      <c r="AN13" s="25">
        <f t="shared" si="10"/>
        <v>12571089.406323617</v>
      </c>
      <c r="AO13" s="44">
        <f t="shared" si="11"/>
        <v>12571593.920621024</v>
      </c>
      <c r="AP13" s="44">
        <f t="shared" si="12"/>
        <v>12571980.747391172</v>
      </c>
      <c r="AQ13" s="44">
        <f t="shared" si="13"/>
        <v>12574367.832180154</v>
      </c>
      <c r="AR13" s="44">
        <f t="shared" si="14"/>
        <v>12574996.550571758</v>
      </c>
      <c r="AS13" s="44">
        <f t="shared" si="15"/>
        <v>12575248.050502768</v>
      </c>
      <c r="AT13" s="44">
        <f t="shared" si="16"/>
        <v>12575373.802983277</v>
      </c>
      <c r="AU13" s="44">
        <f t="shared" si="17"/>
        <v>12575373.802983277</v>
      </c>
      <c r="AW13" s="25">
        <f t="shared" si="23"/>
        <v>8383582.5353221856</v>
      </c>
      <c r="AX13" s="31">
        <f t="shared" si="24"/>
        <v>0.59882732395158467</v>
      </c>
      <c r="BA13" s="31">
        <v>0.6</v>
      </c>
      <c r="BB13" s="68">
        <v>0.6</v>
      </c>
      <c r="BC13" s="31">
        <v>0.2</v>
      </c>
      <c r="BD13" s="69">
        <v>8</v>
      </c>
      <c r="BE13" s="25">
        <f t="shared" si="18"/>
        <v>35000000</v>
      </c>
      <c r="BF13" s="69">
        <f t="shared" si="19"/>
        <v>20958956.338305462</v>
      </c>
      <c r="BG13" s="76">
        <f t="shared" si="25"/>
        <v>0.59882732395158467</v>
      </c>
      <c r="BH13" s="77">
        <f t="shared" si="26"/>
        <v>21000000</v>
      </c>
      <c r="BI13" s="78">
        <f t="shared" si="27"/>
        <v>4200000</v>
      </c>
      <c r="BJ13" s="77">
        <f t="shared" si="28"/>
        <v>12575373.802983277</v>
      </c>
      <c r="BK13" s="27">
        <f t="shared" si="29"/>
        <v>9816417.4646778144</v>
      </c>
      <c r="BL13" s="80">
        <f t="shared" si="30"/>
        <v>14041043.661694538</v>
      </c>
    </row>
    <row r="14" spans="1:65" x14ac:dyDescent="0.25">
      <c r="A14" s="23">
        <v>2017</v>
      </c>
      <c r="B14" s="25">
        <v>22460717.32</v>
      </c>
      <c r="C14" s="25">
        <v>33170199.84</v>
      </c>
      <c r="D14" s="25">
        <v>33441019.100639381</v>
      </c>
      <c r="E14" s="25">
        <v>34502421.719999999</v>
      </c>
      <c r="F14" s="25"/>
      <c r="G14" s="25"/>
      <c r="H14" s="25"/>
      <c r="I14" s="25"/>
      <c r="J14" s="25"/>
      <c r="K14" s="25"/>
      <c r="L14" s="25"/>
      <c r="M14" s="25"/>
      <c r="N14" s="25"/>
      <c r="O14" s="25"/>
      <c r="P14" s="25"/>
      <c r="Q14" s="1"/>
      <c r="R14" s="23">
        <f t="shared" si="0"/>
        <v>2017</v>
      </c>
      <c r="S14" s="25">
        <f t="shared" si="1"/>
        <v>34502421.719999999</v>
      </c>
      <c r="T14" s="25">
        <v>34605928.985159993</v>
      </c>
      <c r="U14" s="25">
        <v>35000000</v>
      </c>
      <c r="V14" s="32"/>
      <c r="Z14" s="2"/>
      <c r="AA14" s="57">
        <f t="shared" si="2"/>
        <v>21739715.574547119</v>
      </c>
      <c r="AB14" s="57">
        <f t="shared" si="20"/>
        <v>35000000</v>
      </c>
      <c r="AC14" s="58">
        <f t="shared" si="21"/>
        <v>0.62113473070134628</v>
      </c>
      <c r="AD14" s="57">
        <f t="shared" si="22"/>
        <v>14000000</v>
      </c>
      <c r="AF14" s="23">
        <v>2014</v>
      </c>
      <c r="AG14" s="25">
        <f t="shared" si="3"/>
        <v>7833303.7919999994</v>
      </c>
      <c r="AH14" s="25">
        <f t="shared" si="4"/>
        <v>12588300.695999997</v>
      </c>
      <c r="AI14" s="25">
        <f t="shared" si="5"/>
        <v>12867346.92</v>
      </c>
      <c r="AJ14" s="25">
        <f t="shared" si="6"/>
        <v>12927185.495999996</v>
      </c>
      <c r="AK14" s="25">
        <f t="shared" si="7"/>
        <v>12994638.411373738</v>
      </c>
      <c r="AL14" s="25">
        <f t="shared" si="8"/>
        <v>13009442.346779156</v>
      </c>
      <c r="AM14" s="25">
        <f t="shared" si="9"/>
        <v>13027908.866612282</v>
      </c>
      <c r="AN14" s="44">
        <f t="shared" si="10"/>
        <v>13039385.346502116</v>
      </c>
      <c r="AO14" s="44">
        <f t="shared" si="11"/>
        <v>13039908.65487453</v>
      </c>
      <c r="AP14" s="44">
        <f t="shared" si="12"/>
        <v>13040309.891645286</v>
      </c>
      <c r="AQ14" s="44">
        <f t="shared" si="13"/>
        <v>13042785.899683433</v>
      </c>
      <c r="AR14" s="44">
        <f t="shared" si="14"/>
        <v>13043438.038978413</v>
      </c>
      <c r="AS14" s="44">
        <f t="shared" si="15"/>
        <v>13043698.90773919</v>
      </c>
      <c r="AT14" s="44">
        <f t="shared" si="16"/>
        <v>13043829.344728271</v>
      </c>
      <c r="AU14" s="44">
        <f t="shared" si="17"/>
        <v>13043829.344728271</v>
      </c>
      <c r="AW14" s="25">
        <f t="shared" si="23"/>
        <v>8695886.2298188489</v>
      </c>
      <c r="AX14" s="31">
        <f t="shared" si="24"/>
        <v>0.62113473070134639</v>
      </c>
      <c r="BA14" s="31">
        <v>0.6</v>
      </c>
      <c r="BB14" s="68">
        <v>0.6</v>
      </c>
      <c r="BC14" s="31">
        <v>0.2</v>
      </c>
      <c r="BD14" s="69">
        <v>9</v>
      </c>
      <c r="BE14" s="25">
        <f t="shared" si="18"/>
        <v>35000000</v>
      </c>
      <c r="BF14" s="69">
        <f t="shared" si="19"/>
        <v>21739715.574547119</v>
      </c>
      <c r="BG14" s="76">
        <f t="shared" si="25"/>
        <v>0.62113473070134628</v>
      </c>
      <c r="BH14" s="77">
        <f t="shared" si="26"/>
        <v>21000000</v>
      </c>
      <c r="BI14" s="78">
        <f t="shared" si="27"/>
        <v>4200000</v>
      </c>
      <c r="BJ14" s="77">
        <f t="shared" si="28"/>
        <v>13043829.344728271</v>
      </c>
      <c r="BK14" s="27">
        <f t="shared" si="29"/>
        <v>9504113.7701811511</v>
      </c>
      <c r="BL14" s="80">
        <f t="shared" si="30"/>
        <v>13260284.425452881</v>
      </c>
    </row>
    <row r="15" spans="1:65" x14ac:dyDescent="0.25">
      <c r="A15" s="23">
        <v>2018</v>
      </c>
      <c r="B15" s="25">
        <v>23255783.719999999</v>
      </c>
      <c r="C15" s="25">
        <v>36798444.280000001</v>
      </c>
      <c r="D15" s="25">
        <v>37699681.439999998</v>
      </c>
      <c r="E15" s="25"/>
      <c r="F15" s="25"/>
      <c r="G15" s="25"/>
      <c r="H15" s="25"/>
      <c r="I15" s="25"/>
      <c r="J15" s="25"/>
      <c r="K15" s="25"/>
      <c r="L15" s="25"/>
      <c r="M15" s="25"/>
      <c r="N15" s="25"/>
      <c r="O15" s="25"/>
      <c r="P15" s="25"/>
      <c r="Q15" s="1"/>
      <c r="R15" s="23">
        <f t="shared" si="0"/>
        <v>2018</v>
      </c>
      <c r="S15" s="25">
        <f t="shared" si="1"/>
        <v>37699681.439999998</v>
      </c>
      <c r="T15" s="25">
        <v>37812780.484319992</v>
      </c>
      <c r="U15" s="25">
        <v>35000000</v>
      </c>
      <c r="V15" s="32"/>
      <c r="Z15" s="2"/>
      <c r="AA15" s="57">
        <f t="shared" si="2"/>
        <v>30081021.256401218</v>
      </c>
      <c r="AB15" s="57">
        <f t="shared" si="20"/>
        <v>35000000</v>
      </c>
      <c r="AC15" s="58">
        <f t="shared" si="21"/>
        <v>0.85945775018289194</v>
      </c>
      <c r="AD15" s="57">
        <f t="shared" si="22"/>
        <v>14000000</v>
      </c>
      <c r="AF15" s="23">
        <v>2015</v>
      </c>
      <c r="AG15" s="25">
        <f t="shared" si="3"/>
        <v>10759592.447999999</v>
      </c>
      <c r="AH15" s="25">
        <f t="shared" si="4"/>
        <v>17291432.615999997</v>
      </c>
      <c r="AI15" s="25">
        <f t="shared" si="5"/>
        <v>17821009.295999996</v>
      </c>
      <c r="AJ15" s="25">
        <f t="shared" si="6"/>
        <v>17873999.943079337</v>
      </c>
      <c r="AK15" s="25">
        <f t="shared" si="7"/>
        <v>17979192.608065501</v>
      </c>
      <c r="AL15" s="25">
        <f t="shared" si="8"/>
        <v>18001031.817802075</v>
      </c>
      <c r="AM15" s="44">
        <f t="shared" si="9"/>
        <v>18026583.751714326</v>
      </c>
      <c r="AN15" s="44">
        <f t="shared" si="10"/>
        <v>18042463.639118139</v>
      </c>
      <c r="AO15" s="44">
        <f t="shared" si="11"/>
        <v>18043187.735540662</v>
      </c>
      <c r="AP15" s="44">
        <f t="shared" si="12"/>
        <v>18043742.922741186</v>
      </c>
      <c r="AQ15" s="44">
        <f t="shared" si="13"/>
        <v>18047168.949644394</v>
      </c>
      <c r="AR15" s="44">
        <f t="shared" si="14"/>
        <v>18048071.308091871</v>
      </c>
      <c r="AS15" s="44">
        <f t="shared" si="15"/>
        <v>18048432.269518029</v>
      </c>
      <c r="AT15" s="44">
        <f t="shared" si="16"/>
        <v>18048612.75384073</v>
      </c>
      <c r="AU15" s="44">
        <f t="shared" si="17"/>
        <v>18048612.75384073</v>
      </c>
      <c r="AW15" s="25">
        <f t="shared" si="23"/>
        <v>12032408.502560489</v>
      </c>
      <c r="AX15" s="31">
        <f t="shared" si="24"/>
        <v>0.85945775018289206</v>
      </c>
      <c r="BA15" s="31">
        <v>0.6</v>
      </c>
      <c r="BB15" s="68">
        <v>0.6</v>
      </c>
      <c r="BC15" s="31">
        <v>0.2</v>
      </c>
      <c r="BD15" s="69">
        <v>10</v>
      </c>
      <c r="BE15" s="25">
        <f t="shared" si="18"/>
        <v>35000000</v>
      </c>
      <c r="BF15" s="69">
        <f t="shared" si="19"/>
        <v>30081021.256401218</v>
      </c>
      <c r="BG15" s="76">
        <f t="shared" si="25"/>
        <v>0.85945775018289194</v>
      </c>
      <c r="BH15" s="77">
        <f t="shared" si="26"/>
        <v>21000000</v>
      </c>
      <c r="BI15" s="78">
        <f t="shared" si="27"/>
        <v>4200000</v>
      </c>
      <c r="BJ15" s="77">
        <f t="shared" si="28"/>
        <v>18048612.75384073</v>
      </c>
      <c r="BK15" s="27">
        <f t="shared" si="29"/>
        <v>6167591.4974395111</v>
      </c>
      <c r="BL15" s="80">
        <f t="shared" si="30"/>
        <v>4918978.7435987815</v>
      </c>
    </row>
    <row r="16" spans="1:65" x14ac:dyDescent="0.25">
      <c r="A16" s="23">
        <v>2019</v>
      </c>
      <c r="B16" s="25">
        <v>23982897.84</v>
      </c>
      <c r="C16" s="25">
        <v>37146846.079999998</v>
      </c>
      <c r="D16" s="25"/>
      <c r="E16" s="25"/>
      <c r="F16" s="25"/>
      <c r="G16" s="25"/>
      <c r="H16" s="25"/>
      <c r="I16" s="25"/>
      <c r="J16" s="25"/>
      <c r="K16" s="25"/>
      <c r="L16" s="25"/>
      <c r="M16" s="25"/>
      <c r="N16" s="25"/>
      <c r="O16" s="25"/>
      <c r="P16" s="25"/>
      <c r="Q16" s="1"/>
      <c r="R16" s="23">
        <f t="shared" si="0"/>
        <v>2019</v>
      </c>
      <c r="S16" s="25">
        <f t="shared" si="1"/>
        <v>37146846.079999998</v>
      </c>
      <c r="T16" s="25">
        <v>37518314.540799998</v>
      </c>
      <c r="U16" s="25">
        <v>35000000</v>
      </c>
      <c r="V16" s="32"/>
      <c r="Z16" s="2"/>
      <c r="AA16" s="57">
        <f t="shared" si="2"/>
        <v>34730498.814953461</v>
      </c>
      <c r="AB16" s="57">
        <f t="shared" si="20"/>
        <v>35000000</v>
      </c>
      <c r="AC16" s="58">
        <f t="shared" si="21"/>
        <v>0.99229996614152749</v>
      </c>
      <c r="AD16" s="57">
        <f t="shared" si="22"/>
        <v>14000000</v>
      </c>
      <c r="AF16" s="23">
        <v>2016</v>
      </c>
      <c r="AG16" s="25">
        <f t="shared" si="3"/>
        <v>10944337.679999998</v>
      </c>
      <c r="AH16" s="25">
        <f t="shared" si="4"/>
        <v>20371213.559999999</v>
      </c>
      <c r="AI16" s="25">
        <f t="shared" si="5"/>
        <v>20537535.047999997</v>
      </c>
      <c r="AJ16" s="25">
        <f t="shared" si="6"/>
        <v>20638087.175999999</v>
      </c>
      <c r="AK16" s="25">
        <f t="shared" si="7"/>
        <v>20759547.140035681</v>
      </c>
      <c r="AL16" s="44">
        <f t="shared" si="8"/>
        <v>20783363.998423941</v>
      </c>
      <c r="AM16" s="44">
        <f t="shared" si="9"/>
        <v>20812865.370830651</v>
      </c>
      <c r="AN16" s="44">
        <f t="shared" si="10"/>
        <v>20831199.73541085</v>
      </c>
      <c r="AO16" s="44">
        <f t="shared" si="11"/>
        <v>20832035.751905441</v>
      </c>
      <c r="AP16" s="44">
        <f t="shared" si="12"/>
        <v>20832676.751698814</v>
      </c>
      <c r="AQ16" s="44">
        <f t="shared" si="13"/>
        <v>20836632.322963756</v>
      </c>
      <c r="AR16" s="44">
        <f t="shared" si="14"/>
        <v>20837674.154579896</v>
      </c>
      <c r="AS16" s="44">
        <f t="shared" si="15"/>
        <v>20838090.908062987</v>
      </c>
      <c r="AT16" s="44">
        <f t="shared" si="16"/>
        <v>20838299.288972076</v>
      </c>
      <c r="AU16" s="44">
        <f t="shared" si="17"/>
        <v>20838299.288972076</v>
      </c>
      <c r="AW16" s="25">
        <f t="shared" si="23"/>
        <v>13892199.525981385</v>
      </c>
      <c r="AX16" s="31">
        <f t="shared" si="24"/>
        <v>0.99229996614152749</v>
      </c>
      <c r="BA16" s="31">
        <v>0.6</v>
      </c>
      <c r="BB16" s="68">
        <v>0.6</v>
      </c>
      <c r="BC16" s="31">
        <v>0.2</v>
      </c>
      <c r="BD16" s="69">
        <v>11</v>
      </c>
      <c r="BE16" s="25">
        <f t="shared" si="18"/>
        <v>35000000</v>
      </c>
      <c r="BF16" s="69">
        <f t="shared" si="19"/>
        <v>34730498.814953461</v>
      </c>
      <c r="BG16" s="76">
        <f t="shared" si="25"/>
        <v>0.99229996614152749</v>
      </c>
      <c r="BH16" s="77">
        <f t="shared" si="26"/>
        <v>21000000</v>
      </c>
      <c r="BI16" s="78">
        <f t="shared" si="27"/>
        <v>4200000</v>
      </c>
      <c r="BJ16" s="77">
        <f t="shared" si="28"/>
        <v>20838299.288972076</v>
      </c>
      <c r="BK16" s="27">
        <f t="shared" si="29"/>
        <v>4307800.4740186147</v>
      </c>
      <c r="BL16" s="80">
        <f t="shared" si="30"/>
        <v>269501.18504653871</v>
      </c>
    </row>
    <row r="17" spans="1:65" x14ac:dyDescent="0.25">
      <c r="A17" s="23">
        <v>2020</v>
      </c>
      <c r="B17" s="25">
        <v>20708116.280000001</v>
      </c>
      <c r="C17" s="25"/>
      <c r="D17" s="25"/>
      <c r="E17" s="25"/>
      <c r="F17" s="25"/>
      <c r="G17" s="25"/>
      <c r="H17" s="25"/>
      <c r="I17" s="25"/>
      <c r="J17" s="25"/>
      <c r="K17" s="25"/>
      <c r="L17" s="25"/>
      <c r="M17" s="25"/>
      <c r="N17" s="25"/>
      <c r="O17" s="25"/>
      <c r="P17" s="25"/>
      <c r="Q17" s="1"/>
      <c r="R17" s="23">
        <f t="shared" si="0"/>
        <v>2020</v>
      </c>
      <c r="S17" s="25">
        <f>HLOOKUP(9^9,B17:P17,1)</f>
        <v>20708116.280000001</v>
      </c>
      <c r="T17" s="25">
        <v>24849739.536000002</v>
      </c>
      <c r="U17" s="25">
        <v>35000000</v>
      </c>
      <c r="V17" s="32"/>
      <c r="Z17" s="2"/>
      <c r="AA17" s="57">
        <f t="shared" si="2"/>
        <v>34818742.75187543</v>
      </c>
      <c r="AB17" s="57">
        <f t="shared" si="20"/>
        <v>35000000</v>
      </c>
      <c r="AC17" s="58">
        <f t="shared" si="21"/>
        <v>0.99482122148215513</v>
      </c>
      <c r="AD17" s="57">
        <f t="shared" si="22"/>
        <v>14000000</v>
      </c>
      <c r="AF17" s="23">
        <v>2017</v>
      </c>
      <c r="AG17" s="25">
        <f t="shared" si="3"/>
        <v>13476430.391999999</v>
      </c>
      <c r="AH17" s="25">
        <f t="shared" si="4"/>
        <v>19902119.903999999</v>
      </c>
      <c r="AI17" s="25">
        <f t="shared" si="5"/>
        <v>20064611.460383628</v>
      </c>
      <c r="AJ17" s="25">
        <f t="shared" si="6"/>
        <v>20701453.031999998</v>
      </c>
      <c r="AK17" s="44">
        <f t="shared" si="7"/>
        <v>20812293.407174394</v>
      </c>
      <c r="AL17" s="44">
        <f t="shared" si="8"/>
        <v>20836170.77990656</v>
      </c>
      <c r="AM17" s="44">
        <f t="shared" si="9"/>
        <v>20865747.109982595</v>
      </c>
      <c r="AN17" s="44">
        <f t="shared" si="10"/>
        <v>20884128.058878221</v>
      </c>
      <c r="AO17" s="44">
        <f t="shared" si="11"/>
        <v>20884966.199540019</v>
      </c>
      <c r="AP17" s="44">
        <f t="shared" si="12"/>
        <v>20885608.827998318</v>
      </c>
      <c r="AQ17" s="44">
        <f t="shared" si="13"/>
        <v>20889574.449656803</v>
      </c>
      <c r="AR17" s="44">
        <f t="shared" si="14"/>
        <v>20890618.928379279</v>
      </c>
      <c r="AS17" s="44">
        <f t="shared" si="15"/>
        <v>20891036.740757845</v>
      </c>
      <c r="AT17" s="44">
        <f t="shared" si="16"/>
        <v>20891245.651125256</v>
      </c>
      <c r="AU17" s="44">
        <f t="shared" si="17"/>
        <v>20891245.651125256</v>
      </c>
      <c r="AW17" s="25">
        <f t="shared" si="23"/>
        <v>13927497.100750174</v>
      </c>
      <c r="AX17" s="31">
        <f t="shared" si="24"/>
        <v>0.99482122148215535</v>
      </c>
      <c r="BA17" s="31">
        <v>0.6</v>
      </c>
      <c r="BB17" s="68">
        <v>0.6</v>
      </c>
      <c r="BC17" s="31">
        <v>0.2</v>
      </c>
      <c r="BD17" s="69">
        <v>12</v>
      </c>
      <c r="BE17" s="25">
        <f t="shared" si="18"/>
        <v>35000000</v>
      </c>
      <c r="BF17" s="69">
        <f t="shared" si="19"/>
        <v>34818742.75187543</v>
      </c>
      <c r="BG17" s="76">
        <f t="shared" si="25"/>
        <v>0.99482122148215513</v>
      </c>
      <c r="BH17" s="77">
        <f t="shared" si="26"/>
        <v>21000000</v>
      </c>
      <c r="BI17" s="78">
        <f t="shared" si="27"/>
        <v>4200000</v>
      </c>
      <c r="BJ17" s="77">
        <f t="shared" si="28"/>
        <v>20891245.651125256</v>
      </c>
      <c r="BK17" s="27">
        <f t="shared" si="29"/>
        <v>4272502.8992498256</v>
      </c>
      <c r="BL17" s="80">
        <f t="shared" si="30"/>
        <v>181257.24812456965</v>
      </c>
    </row>
    <row r="18" spans="1:65" x14ac:dyDescent="0.25">
      <c r="S18" s="1"/>
      <c r="V18" s="32"/>
      <c r="Z18" s="2"/>
      <c r="AA18" s="57">
        <f t="shared" si="2"/>
        <v>38292471.754542857</v>
      </c>
      <c r="AB18" s="57">
        <f t="shared" si="20"/>
        <v>35000000</v>
      </c>
      <c r="AC18" s="58">
        <f t="shared" si="21"/>
        <v>1.0940706215583673</v>
      </c>
      <c r="AD18" s="57">
        <f t="shared" si="22"/>
        <v>14000000</v>
      </c>
      <c r="AF18" s="23">
        <v>2018</v>
      </c>
      <c r="AG18" s="25">
        <f t="shared" si="3"/>
        <v>13953470.231999999</v>
      </c>
      <c r="AH18" s="25">
        <f t="shared" si="4"/>
        <v>22079066.568</v>
      </c>
      <c r="AI18" s="25">
        <f t="shared" si="5"/>
        <v>22619808.863999996</v>
      </c>
      <c r="AJ18" s="44">
        <f t="shared" si="6"/>
        <v>22766755.570551377</v>
      </c>
      <c r="AK18" s="44">
        <f t="shared" si="7"/>
        <v>22888654.053959422</v>
      </c>
      <c r="AL18" s="44">
        <f t="shared" si="8"/>
        <v>22914913.578245945</v>
      </c>
      <c r="AM18" s="44">
        <f t="shared" si="9"/>
        <v>22947440.622433338</v>
      </c>
      <c r="AN18" s="44">
        <f t="shared" si="10"/>
        <v>22967655.366297673</v>
      </c>
      <c r="AO18" s="44">
        <f t="shared" si="11"/>
        <v>22968577.124956422</v>
      </c>
      <c r="AP18" s="44">
        <f t="shared" si="12"/>
        <v>22969283.865928192</v>
      </c>
      <c r="AQ18" s="44">
        <f t="shared" si="13"/>
        <v>22973645.122060526</v>
      </c>
      <c r="AR18" s="44">
        <f t="shared" si="14"/>
        <v>22974793.804316621</v>
      </c>
      <c r="AS18" s="44">
        <f t="shared" si="15"/>
        <v>22975253.300192703</v>
      </c>
      <c r="AT18" s="44">
        <f t="shared" si="16"/>
        <v>22975483.052725714</v>
      </c>
      <c r="AU18" s="44">
        <f t="shared" si="17"/>
        <v>22975483.052725714</v>
      </c>
      <c r="AW18" s="25">
        <f t="shared" si="23"/>
        <v>15316988.701817144</v>
      </c>
      <c r="AX18" s="31">
        <f t="shared" si="24"/>
        <v>1.0940706215583673</v>
      </c>
      <c r="BA18" s="31">
        <v>0.6</v>
      </c>
      <c r="BB18" s="68">
        <v>0.6</v>
      </c>
      <c r="BC18" s="31">
        <v>0.2</v>
      </c>
      <c r="BD18" s="69">
        <v>13</v>
      </c>
      <c r="BE18" s="25">
        <f t="shared" si="18"/>
        <v>35000000</v>
      </c>
      <c r="BF18" s="69">
        <f t="shared" si="19"/>
        <v>38292471.754542857</v>
      </c>
      <c r="BG18" s="76">
        <f t="shared" si="25"/>
        <v>1.0940706215583673</v>
      </c>
      <c r="BH18" s="77">
        <f t="shared" si="26"/>
        <v>21000000</v>
      </c>
      <c r="BI18" s="78">
        <f t="shared" si="27"/>
        <v>4200000</v>
      </c>
      <c r="BJ18" s="77">
        <f t="shared" si="28"/>
        <v>22975483.052725714</v>
      </c>
      <c r="BK18" s="27">
        <f t="shared" si="29"/>
        <v>2883011.2981828563</v>
      </c>
      <c r="BL18" s="81">
        <f t="shared" si="30"/>
        <v>-3292471.7545428574</v>
      </c>
    </row>
    <row r="19" spans="1:65" ht="15.75" customHeight="1" x14ac:dyDescent="0.25">
      <c r="B19" s="12"/>
      <c r="C19" s="12"/>
      <c r="D19" s="12"/>
      <c r="E19" s="12"/>
      <c r="F19" s="12"/>
      <c r="G19" s="12"/>
      <c r="H19" s="12"/>
      <c r="I19" s="12"/>
      <c r="J19" s="12"/>
      <c r="K19" s="12"/>
      <c r="L19" s="12"/>
      <c r="M19" s="12"/>
      <c r="N19" s="12"/>
      <c r="O19" s="12"/>
      <c r="P19" s="12"/>
      <c r="V19" s="32"/>
      <c r="Z19" s="2"/>
      <c r="AA19" s="57">
        <f t="shared" si="2"/>
        <v>38568518.565878429</v>
      </c>
      <c r="AB19" s="57">
        <f t="shared" si="20"/>
        <v>35000000</v>
      </c>
      <c r="AC19" s="58">
        <f t="shared" si="21"/>
        <v>1.1019576733108123</v>
      </c>
      <c r="AD19" s="57">
        <f t="shared" si="22"/>
        <v>14000000</v>
      </c>
      <c r="AF19" s="23">
        <v>2019</v>
      </c>
      <c r="AG19" s="25">
        <f t="shared" si="3"/>
        <v>14389738.704</v>
      </c>
      <c r="AH19" s="25">
        <f t="shared" si="4"/>
        <v>22288107.647999998</v>
      </c>
      <c r="AI19" s="44">
        <f t="shared" si="5"/>
        <v>22782872.929175854</v>
      </c>
      <c r="AJ19" s="44">
        <f t="shared" si="6"/>
        <v>22930878.9606525</v>
      </c>
      <c r="AK19" s="44">
        <f t="shared" si="7"/>
        <v>23053656.198711518</v>
      </c>
      <c r="AL19" s="44">
        <f t="shared" si="8"/>
        <v>23080105.025427848</v>
      </c>
      <c r="AM19" s="44">
        <f t="shared" si="9"/>
        <v>23112866.554003913</v>
      </c>
      <c r="AN19" s="44">
        <f t="shared" si="10"/>
        <v>23133227.024047051</v>
      </c>
      <c r="AO19" s="44">
        <f t="shared" si="11"/>
        <v>23134155.427576892</v>
      </c>
      <c r="AP19" s="44">
        <f t="shared" si="12"/>
        <v>23134867.263377558</v>
      </c>
      <c r="AQ19" s="44">
        <f t="shared" si="13"/>
        <v>23139259.959393337</v>
      </c>
      <c r="AR19" s="44">
        <f t="shared" si="14"/>
        <v>23140416.922391299</v>
      </c>
      <c r="AS19" s="44">
        <f t="shared" si="15"/>
        <v>23140879.730729744</v>
      </c>
      <c r="AT19" s="44">
        <f t="shared" si="16"/>
        <v>23141111.139527056</v>
      </c>
      <c r="AU19" s="44">
        <f t="shared" si="17"/>
        <v>23141111.139527056</v>
      </c>
      <c r="AW19" s="25">
        <f t="shared" si="23"/>
        <v>15427407.426351372</v>
      </c>
      <c r="AX19" s="31">
        <f t="shared" si="24"/>
        <v>1.1019576733108123</v>
      </c>
      <c r="BA19" s="31">
        <v>0.6</v>
      </c>
      <c r="BB19" s="68">
        <v>0.6</v>
      </c>
      <c r="BC19" s="31">
        <v>0.2</v>
      </c>
      <c r="BD19" s="69">
        <v>14</v>
      </c>
      <c r="BE19" s="25">
        <f t="shared" si="18"/>
        <v>35000000</v>
      </c>
      <c r="BF19" s="69">
        <f t="shared" si="19"/>
        <v>38568518.565878429</v>
      </c>
      <c r="BG19" s="76">
        <f t="shared" si="25"/>
        <v>1.1019576733108123</v>
      </c>
      <c r="BH19" s="77">
        <f t="shared" si="26"/>
        <v>21000000</v>
      </c>
      <c r="BI19" s="78">
        <f t="shared" si="27"/>
        <v>4200000</v>
      </c>
      <c r="BJ19" s="77">
        <f t="shared" si="28"/>
        <v>23141111.139527056</v>
      </c>
      <c r="BK19" s="27">
        <f t="shared" si="29"/>
        <v>2772592.5736486278</v>
      </c>
      <c r="BL19" s="81">
        <f t="shared" si="30"/>
        <v>-3568518.5658784285</v>
      </c>
    </row>
    <row r="20" spans="1:65" x14ac:dyDescent="0.25">
      <c r="A20" s="132" t="s">
        <v>48</v>
      </c>
      <c r="B20" s="131"/>
      <c r="C20" s="131"/>
      <c r="D20" s="125"/>
      <c r="E20" s="2"/>
      <c r="F20" s="2"/>
      <c r="G20" s="2"/>
      <c r="H20" s="2"/>
      <c r="I20" s="2"/>
      <c r="J20" s="2"/>
      <c r="K20" s="2"/>
      <c r="L20" s="2"/>
      <c r="M20" s="2"/>
      <c r="N20" s="2"/>
      <c r="O20" s="2"/>
      <c r="P20" s="2"/>
      <c r="Z20" s="2"/>
      <c r="AA20" s="57">
        <f t="shared" si="2"/>
        <v>33147741.044753108</v>
      </c>
      <c r="AB20" s="57">
        <f t="shared" si="20"/>
        <v>35000000</v>
      </c>
      <c r="AC20" s="58">
        <f t="shared" si="21"/>
        <v>0.9470783155643745</v>
      </c>
      <c r="AD20" s="57">
        <f t="shared" si="22"/>
        <v>14000000</v>
      </c>
      <c r="AF20" s="23">
        <v>2020</v>
      </c>
      <c r="AG20" s="25">
        <f t="shared" si="3"/>
        <v>12424869.768000001</v>
      </c>
      <c r="AH20" s="44">
        <f t="shared" si="4"/>
        <v>19155530.162029658</v>
      </c>
      <c r="AI20" s="44">
        <f t="shared" si="5"/>
        <v>19580756.539089967</v>
      </c>
      <c r="AJ20" s="44">
        <f t="shared" si="6"/>
        <v>19707960.429383796</v>
      </c>
      <c r="AK20" s="44">
        <f t="shared" si="7"/>
        <v>19813481.415014047</v>
      </c>
      <c r="AL20" s="44">
        <f t="shared" si="8"/>
        <v>19836212.87817442</v>
      </c>
      <c r="AM20" s="44">
        <f t="shared" si="9"/>
        <v>19864369.797492303</v>
      </c>
      <c r="AN20" s="44">
        <f t="shared" si="10"/>
        <v>19881868.618127238</v>
      </c>
      <c r="AO20" s="44">
        <f t="shared" si="11"/>
        <v>19882666.535209265</v>
      </c>
      <c r="AP20" s="44">
        <f t="shared" si="12"/>
        <v>19883278.323000558</v>
      </c>
      <c r="AQ20" s="44">
        <f t="shared" si="13"/>
        <v>19887053.628753375</v>
      </c>
      <c r="AR20" s="44">
        <f t="shared" si="14"/>
        <v>19888047.981434807</v>
      </c>
      <c r="AS20" s="44">
        <f t="shared" si="15"/>
        <v>19888445.742394432</v>
      </c>
      <c r="AT20" s="44">
        <f t="shared" si="16"/>
        <v>19888644.626851864</v>
      </c>
      <c r="AU20" s="44">
        <f t="shared" si="17"/>
        <v>19888644.626851864</v>
      </c>
      <c r="AW20" s="25">
        <f t="shared" si="23"/>
        <v>13259096.417901244</v>
      </c>
      <c r="AX20" s="31">
        <f t="shared" si="24"/>
        <v>0.94707831556437461</v>
      </c>
      <c r="BA20" s="31">
        <v>0.6</v>
      </c>
      <c r="BB20" s="68">
        <v>0.6</v>
      </c>
      <c r="BC20" s="31">
        <v>0.2</v>
      </c>
      <c r="BD20" s="69">
        <v>15</v>
      </c>
      <c r="BE20" s="25">
        <f t="shared" si="18"/>
        <v>35000000</v>
      </c>
      <c r="BF20" s="69">
        <f t="shared" si="19"/>
        <v>33147741.044753108</v>
      </c>
      <c r="BG20" s="76">
        <f t="shared" si="25"/>
        <v>0.9470783155643745</v>
      </c>
      <c r="BH20" s="77">
        <f t="shared" si="26"/>
        <v>21000000</v>
      </c>
      <c r="BI20" s="78">
        <f t="shared" si="27"/>
        <v>4200000</v>
      </c>
      <c r="BJ20" s="77">
        <f t="shared" si="28"/>
        <v>19888644.626851864</v>
      </c>
      <c r="BK20" s="27">
        <f t="shared" si="29"/>
        <v>4940903.582098756</v>
      </c>
      <c r="BL20" s="80">
        <f t="shared" si="30"/>
        <v>1852258.9552468918</v>
      </c>
    </row>
    <row r="22" spans="1:65" ht="18" x14ac:dyDescent="0.25">
      <c r="B22" s="1"/>
      <c r="C22" s="1"/>
      <c r="D22" s="1"/>
      <c r="E22" s="1"/>
      <c r="F22" s="1"/>
      <c r="G22" s="1"/>
      <c r="H22" s="1"/>
      <c r="I22" s="1"/>
      <c r="J22" s="1"/>
      <c r="K22" s="1"/>
      <c r="L22" s="1"/>
      <c r="M22" s="1"/>
      <c r="N22" s="1"/>
      <c r="O22" s="1"/>
      <c r="P22" s="1"/>
      <c r="T22" s="2"/>
      <c r="U22" s="2"/>
      <c r="V22" s="59"/>
      <c r="AF22" s="93" t="s">
        <v>68</v>
      </c>
      <c r="AG22" s="23">
        <v>1</v>
      </c>
      <c r="AH22" s="23">
        <v>2</v>
      </c>
      <c r="AI22" s="23">
        <v>3</v>
      </c>
      <c r="AJ22" s="23">
        <v>4</v>
      </c>
      <c r="AK22" s="23">
        <v>5</v>
      </c>
      <c r="AL22" s="23">
        <v>6</v>
      </c>
      <c r="AM22" s="23">
        <v>7</v>
      </c>
      <c r="AN22" s="23">
        <v>8</v>
      </c>
      <c r="AO22" s="23">
        <v>9</v>
      </c>
      <c r="AP22" s="23">
        <v>10</v>
      </c>
      <c r="AQ22" s="23">
        <v>11</v>
      </c>
      <c r="AR22" s="23">
        <v>12</v>
      </c>
      <c r="AS22" s="23">
        <v>13</v>
      </c>
      <c r="AT22" s="23">
        <v>14</v>
      </c>
      <c r="AU22" s="23">
        <v>15</v>
      </c>
      <c r="AV22" s="23" t="s">
        <v>47</v>
      </c>
    </row>
    <row r="23" spans="1:65" x14ac:dyDescent="0.25">
      <c r="A23" s="166" t="s">
        <v>43</v>
      </c>
      <c r="B23" s="29">
        <f>IFERROR(SUMIFS(C3:C17,C3:C17,"&lt;&gt;"&amp;"")/SUMIFS(B3:B17,C3:C17,"&lt;&gt;"&amp;""),1)</f>
        <v>1.541708727713536</v>
      </c>
      <c r="C23" s="29">
        <f t="shared" ref="C23:P23" si="31">IFERROR(SUMIFS(D3:D17,D3:D17,"&lt;&gt;"&amp;"")/SUMIFS(C3:C17,D3:D17,"&lt;&gt;"&amp;""),1)</f>
        <v>1.0221986221975312</v>
      </c>
      <c r="D23" s="29">
        <f t="shared" si="31"/>
        <v>1.0064963726013285</v>
      </c>
      <c r="E23" s="29">
        <f t="shared" si="31"/>
        <v>1.0053542316572204</v>
      </c>
      <c r="F23" s="29">
        <f t="shared" si="31"/>
        <v>1.0011472725405617</v>
      </c>
      <c r="G23" s="29">
        <f t="shared" si="31"/>
        <v>1.0014194705154058</v>
      </c>
      <c r="H23" s="29">
        <f t="shared" si="31"/>
        <v>1.0008809149655049</v>
      </c>
      <c r="I23" s="29">
        <f t="shared" si="31"/>
        <v>1.0000401329018591</v>
      </c>
      <c r="J23" s="29">
        <f t="shared" si="31"/>
        <v>1.000030769906552</v>
      </c>
      <c r="K23" s="29">
        <f t="shared" si="31"/>
        <v>1.0001898734047519</v>
      </c>
      <c r="L23" s="29">
        <f t="shared" si="31"/>
        <v>1.0000499999999997</v>
      </c>
      <c r="M23" s="29">
        <f t="shared" si="31"/>
        <v>1.0000199999999999</v>
      </c>
      <c r="N23" s="29">
        <f t="shared" si="31"/>
        <v>1.0000100000000003</v>
      </c>
      <c r="O23" s="43">
        <f>IFERROR(SUMIFS(P3:P17,P3:P17,"&lt;&gt;"&amp;"")/SUMIFS(O3:O17,P3:P17,"&lt;&gt;"&amp;""),1)</f>
        <v>1</v>
      </c>
      <c r="P23" s="29">
        <f t="shared" si="31"/>
        <v>1</v>
      </c>
      <c r="T23" s="2"/>
      <c r="U23" s="2"/>
      <c r="V23" s="59"/>
      <c r="Z23" s="2"/>
      <c r="AA23" s="2"/>
      <c r="AB23" s="2"/>
      <c r="AC23" s="2"/>
      <c r="AD23" s="2"/>
      <c r="AE23" s="2"/>
      <c r="AF23" s="94" t="s">
        <v>69</v>
      </c>
      <c r="AG23" s="44">
        <f>(AH20+AI19+AJ18+AK17+AL16+AM15+AN14+AO13+AP12+AQ11+AR10+AS9+AT8+AU7)-(AG20+AH19+AI18+AJ17+AK16+AL15+AM14+AN13+AO12+AP11+AQ10+AR9+AS8+AT7)</f>
        <v>7549130.8425660133</v>
      </c>
      <c r="AH23" s="44">
        <f>(AI20+AJ19+AK18+AL17+AM16+AN15+AO14+AP13+AQ12+AR11+AS10+AT9+AU8)-(AH20+AI19+AJ18+AK17+AL16+AM15+AN14+AO13+AP12+AQ11+AR10+AS9+AT8)</f>
        <v>769160.82925891876</v>
      </c>
      <c r="AI23" s="44">
        <f>(AJ20+AK19+AL18+AM17+AN16+AO15+AP14+AQ13+AR12+AS11+AT10+AU9)-(AI20+AJ19+AK18+AL17+AM16+AN15+AO14+AP13+AQ12+AR11+AS10+AT9)</f>
        <v>328771.21608129144</v>
      </c>
      <c r="AJ23" s="44">
        <f>(AK20+AL19+AM18+AN17+AO16+AP15+AQ14+AR13+AS12+AT11+AU10)-(AJ20+AK19+AL18+AM17+AN16+AO15+AP14+AQ13+AR12+AS11+AT10)</f>
        <v>187791.10674527287</v>
      </c>
      <c r="AK23" s="44">
        <f>(AL20+AM19+AN18+AO17+AP16+AQ15+AR14+AS13+AT12+AU11)-(AK20+AL19+AM18+AN17+AO16+AP15+AQ14+AR13+AS12+AT11)</f>
        <v>81652.926973193884</v>
      </c>
      <c r="AL23" s="44">
        <f>(AM20+AN19+AO18+AP17+AQ16+AR15+AS14+AT13+AU12)-(AL20+AM19+AN18+AO17+AP16+AQ15+AR14+AS13+AT12)</f>
        <v>55326.327431797981</v>
      </c>
      <c r="AM23" s="44">
        <f>(AN20+AO19+AP18+AQ17+AR16+AS15+AT14+AU13)-(AM20+AN19+AO18+AP17+AQ16+AR15+AS14+AT13)</f>
        <v>24632.816826373339</v>
      </c>
      <c r="AN23" s="44">
        <f>(AO20+AP19+AQ18+AR17+AS16+AT15+AU14)-(AN20+AO19+AP18+AQ17+AR16+AS15+AT14)</f>
        <v>7512.725543320179</v>
      </c>
      <c r="AO23" s="44">
        <f>(AP20+AQ19+AR18+AS17+AT16+AU15)-(AO20+AP19+AQ18+AR17+AS16+AT15)</f>
        <v>6779.3593508303165</v>
      </c>
      <c r="AP23" s="44">
        <f>(AQ20+AR19+AS18+AT17+AU16)-(AP20+AQ19+AR18+AS17+AT16)</f>
        <v>5600.6749942600727</v>
      </c>
      <c r="AQ23" s="44">
        <f>(AR20+AS19+AT18+AU17)-(AQ20+AR19+AS18+AT17)</f>
        <v>1686.9135528951883</v>
      </c>
      <c r="AR23" s="44">
        <f>(AS20+AT19+AU18)-(AR20+AS19+AT18)</f>
        <v>629.16975693404675</v>
      </c>
      <c r="AS23" s="44">
        <f>(AT20+AU19)-(AS20+AT19)</f>
        <v>198.88445743918419</v>
      </c>
      <c r="AT23" s="44">
        <f>(AU20)-(AT20)</f>
        <v>0</v>
      </c>
      <c r="AU23" s="45">
        <f>0</f>
        <v>0</v>
      </c>
      <c r="AV23" s="44">
        <f>SUM(AG23:AU23)</f>
        <v>9018873.7935385406</v>
      </c>
      <c r="AW23" s="2">
        <f>AV23/U52</f>
        <v>0.59999999999999976</v>
      </c>
    </row>
    <row r="24" spans="1:65" ht="15" customHeight="1" x14ac:dyDescent="0.25">
      <c r="A24" s="167"/>
      <c r="B24" s="30"/>
      <c r="C24" s="30"/>
      <c r="D24" s="30"/>
      <c r="E24" s="30"/>
      <c r="F24" s="30"/>
      <c r="G24" s="30"/>
      <c r="H24" s="30"/>
      <c r="I24" s="30"/>
      <c r="J24" s="30"/>
      <c r="K24" s="30"/>
      <c r="L24" s="30"/>
      <c r="M24" s="30"/>
      <c r="N24" s="30"/>
      <c r="O24" s="30"/>
      <c r="P24" s="30"/>
      <c r="T24" s="2"/>
      <c r="U24" s="2"/>
      <c r="V24" s="59"/>
      <c r="Z24" s="2"/>
      <c r="AA24" s="2"/>
      <c r="AB24" s="2"/>
      <c r="AC24" s="2"/>
      <c r="AD24" s="2"/>
      <c r="AE24" s="2"/>
      <c r="AF24" s="2"/>
      <c r="AG24" s="2"/>
      <c r="AH24" s="2"/>
      <c r="AI24" s="2"/>
      <c r="AJ24" s="2"/>
      <c r="AK24" s="2"/>
    </row>
    <row r="25" spans="1:65" x14ac:dyDescent="0.25">
      <c r="A25" s="168" t="s">
        <v>44</v>
      </c>
      <c r="B25" s="29">
        <f>PRODUCT(B23:P$24)</f>
        <v>1.6007125224020184</v>
      </c>
      <c r="C25" s="29">
        <f>PRODUCT(C23:Q$24)</f>
        <v>1.0382716875294529</v>
      </c>
      <c r="D25" s="29">
        <f>PRODUCT(D23:R$24)</f>
        <v>1.0157240138881889</v>
      </c>
      <c r="E25" s="29">
        <f>PRODUCT(E23:S$24)</f>
        <v>1.0091680820100835</v>
      </c>
      <c r="F25" s="29">
        <f>PRODUCT(F23:T$24)</f>
        <v>1.0037935388669685</v>
      </c>
      <c r="G25" s="29">
        <f>PRODUCT(G23:U$24)</f>
        <v>1.0026432338168305</v>
      </c>
      <c r="H25" s="29">
        <f>PRODUCT(H23:V$24)</f>
        <v>1.0012220286677618</v>
      </c>
      <c r="I25" s="29">
        <f>PRODUCT(I23:W$24)</f>
        <v>1.0003408134745668</v>
      </c>
      <c r="J25" s="29">
        <f>PRODUCT(J23:X$24)</f>
        <v>1.0003006685060081</v>
      </c>
      <c r="K25" s="29">
        <f>PRODUCT(K23:Y$24)</f>
        <v>1.0002698902949569</v>
      </c>
      <c r="L25" s="29">
        <f>PRODUCT(L23:Z$24)</f>
        <v>1.00008000170001</v>
      </c>
      <c r="M25" s="29">
        <f>PRODUCT(M23:AA$24)</f>
        <v>1.0000300002000002</v>
      </c>
      <c r="N25" s="29">
        <f>PRODUCT(N23:AB$24)</f>
        <v>1.0000100000000003</v>
      </c>
      <c r="O25" s="43">
        <f>PRODUCT(O23:AC$24)</f>
        <v>1</v>
      </c>
      <c r="P25" s="29">
        <f>PRODUCT(P23:AD$24)</f>
        <v>1</v>
      </c>
      <c r="T25" s="2"/>
      <c r="U25" s="2"/>
      <c r="V25" s="59"/>
      <c r="Z25" s="2"/>
      <c r="AA25" s="2"/>
      <c r="AB25" s="2"/>
      <c r="AC25" s="2"/>
      <c r="AD25" s="2"/>
      <c r="AE25" s="2"/>
      <c r="AF25" s="169" t="s">
        <v>70</v>
      </c>
      <c r="AG25" s="169"/>
      <c r="AH25" s="169" t="s">
        <v>71</v>
      </c>
      <c r="AI25" s="169"/>
      <c r="AJ25" s="169" t="s">
        <v>72</v>
      </c>
      <c r="AK25" s="169"/>
    </row>
    <row r="26" spans="1:65" x14ac:dyDescent="0.25">
      <c r="A26" s="166"/>
      <c r="B26" s="30"/>
      <c r="C26" s="30"/>
      <c r="D26" s="30"/>
      <c r="E26" s="30"/>
      <c r="F26" s="30"/>
      <c r="G26" s="30"/>
      <c r="H26" s="30"/>
      <c r="I26" s="30"/>
      <c r="J26" s="30"/>
      <c r="K26" s="30"/>
      <c r="L26" s="30"/>
      <c r="M26" s="30"/>
      <c r="N26" s="30"/>
      <c r="O26" s="30"/>
      <c r="P26" s="30"/>
      <c r="T26" s="2"/>
      <c r="U26" s="2"/>
      <c r="V26" s="59"/>
      <c r="Z26" s="2"/>
      <c r="AA26" s="2"/>
      <c r="AB26" s="2"/>
      <c r="AC26" s="2"/>
      <c r="AD26" s="2"/>
      <c r="AE26" s="2"/>
      <c r="AF26" s="170"/>
      <c r="AG26" s="170"/>
      <c r="AH26" s="170"/>
      <c r="AI26" s="170"/>
      <c r="AJ26" s="170"/>
      <c r="AK26" s="170"/>
    </row>
    <row r="27" spans="1:65" x14ac:dyDescent="0.25">
      <c r="A27" s="166" t="s">
        <v>45</v>
      </c>
      <c r="B27" s="29">
        <f>1/B25</f>
        <v>0.62472179482884704</v>
      </c>
      <c r="C27" s="29">
        <f t="shared" ref="C27:P27" si="32">1/C25</f>
        <v>0.96313904348049828</v>
      </c>
      <c r="D27" s="29">
        <f t="shared" si="32"/>
        <v>0.98451940323041354</v>
      </c>
      <c r="E27" s="29">
        <f t="shared" si="32"/>
        <v>0.99091520810703582</v>
      </c>
      <c r="F27" s="29">
        <f t="shared" si="32"/>
        <v>0.9962207976839037</v>
      </c>
      <c r="G27" s="29">
        <f t="shared" si="32"/>
        <v>0.99736373444942295</v>
      </c>
      <c r="H27" s="29">
        <f t="shared" si="32"/>
        <v>0.99877946286360897</v>
      </c>
      <c r="I27" s="29">
        <f t="shared" si="32"/>
        <v>0.99965930263968428</v>
      </c>
      <c r="J27" s="29">
        <f t="shared" si="32"/>
        <v>0.99969942186836969</v>
      </c>
      <c r="K27" s="29">
        <f t="shared" si="32"/>
        <v>0.99973018252616064</v>
      </c>
      <c r="L27" s="29">
        <f t="shared" si="32"/>
        <v>0.99992000469975006</v>
      </c>
      <c r="M27" s="29">
        <f t="shared" si="32"/>
        <v>0.99997000069998476</v>
      </c>
      <c r="N27" s="29">
        <f t="shared" si="32"/>
        <v>0.99999000009999872</v>
      </c>
      <c r="O27" s="43">
        <f t="shared" si="32"/>
        <v>1</v>
      </c>
      <c r="P27" s="29">
        <f t="shared" si="32"/>
        <v>1</v>
      </c>
      <c r="T27" s="2"/>
      <c r="U27" s="2"/>
      <c r="V27" s="59"/>
      <c r="Z27" s="2"/>
      <c r="AA27" s="2"/>
      <c r="AB27" s="2"/>
      <c r="AC27" s="2"/>
      <c r="AD27" s="2"/>
      <c r="AE27" s="2"/>
      <c r="AF27" s="171">
        <f>U52</f>
        <v>15031456.322564241</v>
      </c>
      <c r="AG27" s="172"/>
      <c r="AH27" s="171">
        <f>AV23</f>
        <v>9018873.7935385406</v>
      </c>
      <c r="AI27" s="172"/>
      <c r="AJ27" s="171">
        <f>AF27-AH27</f>
        <v>6012582.5290256999</v>
      </c>
      <c r="AK27" s="172"/>
    </row>
    <row r="28" spans="1:65" x14ac:dyDescent="0.25">
      <c r="A28" s="167"/>
      <c r="B28" s="30"/>
      <c r="C28" s="30"/>
      <c r="D28" s="30"/>
      <c r="E28" s="30"/>
      <c r="F28" s="30"/>
      <c r="G28" s="30"/>
      <c r="H28" s="30"/>
      <c r="I28" s="30"/>
      <c r="J28" s="30"/>
      <c r="K28" s="30"/>
      <c r="L28" s="30"/>
      <c r="M28" s="30"/>
      <c r="N28" s="30"/>
      <c r="O28" s="42"/>
      <c r="P28" s="30"/>
      <c r="T28" s="2"/>
      <c r="U28" s="2"/>
      <c r="V28" s="59"/>
      <c r="Z28" s="2"/>
      <c r="AA28" s="2"/>
      <c r="AB28" s="2"/>
      <c r="AC28" s="2"/>
      <c r="AD28" s="2"/>
      <c r="AE28" s="2"/>
      <c r="AF28" s="173"/>
      <c r="AG28" s="174"/>
      <c r="AH28" s="173"/>
      <c r="AI28" s="174"/>
      <c r="AJ28" s="173"/>
      <c r="AK28" s="174"/>
    </row>
    <row r="29" spans="1:65" x14ac:dyDescent="0.25">
      <c r="B29" s="1"/>
      <c r="C29" s="1"/>
      <c r="D29" s="1"/>
      <c r="E29" s="1"/>
      <c r="F29" s="1"/>
      <c r="G29" s="1"/>
      <c r="H29" s="1"/>
      <c r="I29" s="1"/>
      <c r="J29" s="1"/>
      <c r="K29" s="1"/>
      <c r="L29" s="1"/>
      <c r="M29" s="1"/>
      <c r="N29" s="1"/>
      <c r="O29" s="1"/>
      <c r="P29" s="1"/>
      <c r="T29" s="2"/>
      <c r="U29" s="2"/>
      <c r="V29" s="59"/>
      <c r="Z29" s="2"/>
      <c r="AA29" s="2"/>
      <c r="AB29" s="2"/>
      <c r="AC29" s="2"/>
      <c r="AD29" s="2"/>
      <c r="AE29" s="2"/>
      <c r="AF29" s="2"/>
      <c r="AG29" s="2"/>
      <c r="AH29" s="2"/>
      <c r="AI29" s="2"/>
      <c r="AJ29" s="2"/>
      <c r="AK29" s="2"/>
    </row>
    <row r="30" spans="1:65" x14ac:dyDescent="0.25">
      <c r="A30" s="70"/>
      <c r="B30" s="71"/>
      <c r="C30" s="71"/>
      <c r="D30" s="71"/>
      <c r="E30" s="71"/>
      <c r="F30" s="71"/>
      <c r="G30" s="71"/>
      <c r="H30" s="71"/>
      <c r="I30" s="71"/>
      <c r="J30" s="71"/>
      <c r="K30" s="71"/>
      <c r="L30" s="71"/>
      <c r="M30" s="71"/>
      <c r="N30" s="71"/>
      <c r="O30" s="71"/>
      <c r="P30" s="71"/>
      <c r="Q30" s="70"/>
      <c r="R30" s="70"/>
      <c r="S30" s="70"/>
      <c r="T30" s="72"/>
      <c r="U30" s="72"/>
      <c r="V30" s="72"/>
      <c r="W30" s="70"/>
      <c r="X30" s="70"/>
      <c r="Y30" s="70"/>
      <c r="Z30" s="127"/>
      <c r="AA30" s="72"/>
      <c r="AB30" s="72"/>
      <c r="AC30" s="72"/>
      <c r="AD30" s="72"/>
      <c r="AE30" s="72"/>
      <c r="AF30" s="72"/>
      <c r="AG30" s="72"/>
      <c r="AH30" s="72"/>
      <c r="AI30" s="72"/>
      <c r="AJ30" s="72"/>
      <c r="AK30" s="72"/>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row>
    <row r="31" spans="1:65" s="53" customFormat="1" x14ac:dyDescent="0.25">
      <c r="A31" s="22"/>
      <c r="B31" s="32"/>
      <c r="C31" s="32"/>
      <c r="D31" s="32"/>
      <c r="E31" s="32"/>
      <c r="F31" s="32"/>
      <c r="G31" s="32"/>
      <c r="H31" s="32"/>
      <c r="I31" s="32"/>
      <c r="J31" s="32"/>
      <c r="K31" s="32"/>
      <c r="L31" s="32"/>
      <c r="M31" s="32"/>
      <c r="N31" s="32"/>
      <c r="O31" s="32"/>
      <c r="P31" s="32"/>
      <c r="Q31" s="22"/>
      <c r="R31" s="22"/>
      <c r="S31" s="22"/>
      <c r="T31" s="59"/>
      <c r="U31" s="59"/>
      <c r="V31" s="59"/>
      <c r="W31" s="22"/>
      <c r="X31" s="22"/>
      <c r="Y31" s="22"/>
      <c r="Z31" s="123"/>
      <c r="AA31" s="59"/>
      <c r="AB31" s="59"/>
      <c r="AC31" s="59"/>
      <c r="AD31" s="59"/>
      <c r="AE31" s="59"/>
      <c r="AF31" s="59"/>
      <c r="AG31" s="59"/>
      <c r="AH31" s="59"/>
      <c r="AI31" s="59"/>
      <c r="AJ31" s="59"/>
      <c r="AK31" s="59"/>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row>
    <row r="32" spans="1:65" x14ac:dyDescent="0.25">
      <c r="B32" s="1"/>
      <c r="C32" s="1"/>
      <c r="D32" s="1"/>
      <c r="E32" s="1"/>
      <c r="F32" s="1"/>
      <c r="G32" s="1"/>
      <c r="H32" s="1"/>
      <c r="I32" s="1"/>
      <c r="J32" s="1"/>
      <c r="K32" s="1"/>
      <c r="L32" s="1"/>
      <c r="M32" s="1"/>
      <c r="N32" s="1"/>
      <c r="O32" s="1"/>
      <c r="P32" s="1"/>
      <c r="T32" s="2"/>
      <c r="U32" s="2"/>
      <c r="V32" s="59"/>
      <c r="Z32" s="59"/>
      <c r="AA32" s="59"/>
      <c r="AB32" s="59"/>
      <c r="AC32" s="59"/>
      <c r="AD32" s="59"/>
      <c r="AE32" s="59"/>
      <c r="AF32" s="59"/>
      <c r="AG32" s="59"/>
      <c r="AH32" s="59"/>
      <c r="AI32" s="59"/>
      <c r="AJ32" s="59"/>
      <c r="AK32" s="59"/>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row>
    <row r="33" spans="1:51" x14ac:dyDescent="0.25">
      <c r="A33" s="164" t="s">
        <v>49</v>
      </c>
      <c r="B33" s="165"/>
      <c r="C33" s="165"/>
      <c r="D33" s="1"/>
      <c r="E33" s="1"/>
      <c r="F33" s="1"/>
      <c r="G33" s="1"/>
      <c r="H33" s="1"/>
      <c r="I33" s="1"/>
      <c r="J33" s="1"/>
      <c r="K33" s="1"/>
      <c r="L33" s="1"/>
      <c r="M33" s="1"/>
      <c r="N33" s="1"/>
      <c r="O33" s="1"/>
      <c r="P33" s="1"/>
      <c r="T33" s="2"/>
      <c r="U33" s="2"/>
      <c r="V33" s="59"/>
      <c r="Z33" s="164" t="s">
        <v>176</v>
      </c>
      <c r="AA33" s="165"/>
      <c r="AB33" s="165"/>
      <c r="AC33" s="2"/>
      <c r="AD33" s="2"/>
      <c r="AE33" s="2"/>
      <c r="AF33" s="2"/>
      <c r="AG33" s="2"/>
      <c r="AH33" s="2"/>
      <c r="AI33" s="2"/>
      <c r="AJ33" s="2"/>
      <c r="AK33" s="2"/>
    </row>
    <row r="34" spans="1:51" x14ac:dyDescent="0.25">
      <c r="B34" s="1"/>
      <c r="C34" s="1"/>
      <c r="D34" s="1"/>
      <c r="E34" s="1"/>
      <c r="F34" s="1"/>
      <c r="G34" s="1"/>
      <c r="H34" s="1"/>
      <c r="I34" s="1"/>
      <c r="J34" s="1"/>
      <c r="K34" s="1"/>
      <c r="L34" s="1"/>
      <c r="M34" s="1"/>
      <c r="N34" s="1"/>
      <c r="O34" s="1"/>
      <c r="P34" s="1"/>
      <c r="S34" s="1"/>
      <c r="T34" s="1"/>
      <c r="U34" s="1"/>
      <c r="V34" s="32"/>
      <c r="Z34" s="2"/>
      <c r="AA34" s="2"/>
      <c r="AB34" s="2"/>
      <c r="AC34" s="2"/>
      <c r="AD34" s="2"/>
      <c r="AE34" s="2"/>
      <c r="AF34" s="2"/>
      <c r="AG34" s="2"/>
      <c r="AH34" s="2"/>
      <c r="AI34" s="2"/>
      <c r="AJ34" s="2"/>
      <c r="AK34" s="2"/>
    </row>
    <row r="35" spans="1:51" x14ac:dyDescent="0.25">
      <c r="B35" s="1"/>
      <c r="C35" s="1"/>
      <c r="D35" s="1"/>
      <c r="E35" s="1"/>
      <c r="F35" s="1"/>
      <c r="G35" s="1"/>
      <c r="H35" s="1"/>
      <c r="I35" s="1"/>
      <c r="J35" s="1"/>
      <c r="K35" s="1"/>
      <c r="L35" s="1"/>
      <c r="M35" s="1"/>
      <c r="N35" s="1"/>
      <c r="O35" s="1"/>
      <c r="P35" s="1"/>
      <c r="Z35" s="2"/>
      <c r="AA35" s="2"/>
      <c r="AB35" s="2"/>
      <c r="AC35" s="2"/>
      <c r="AD35" s="2"/>
      <c r="AE35" s="2"/>
      <c r="AF35" s="2"/>
      <c r="AG35" s="2"/>
      <c r="AH35" s="2"/>
      <c r="AI35" s="2"/>
      <c r="AJ35" s="2"/>
      <c r="AK35" s="2"/>
    </row>
    <row r="36" spans="1:51" x14ac:dyDescent="0.25">
      <c r="A36" s="23" t="s">
        <v>3</v>
      </c>
      <c r="B36" s="24">
        <v>1</v>
      </c>
      <c r="C36" s="24">
        <v>2</v>
      </c>
      <c r="D36" s="24">
        <v>3</v>
      </c>
      <c r="E36" s="24">
        <v>4</v>
      </c>
      <c r="F36" s="24">
        <v>5</v>
      </c>
      <c r="G36" s="24">
        <v>6</v>
      </c>
      <c r="H36" s="24">
        <v>7</v>
      </c>
      <c r="I36" s="24">
        <v>8</v>
      </c>
      <c r="J36" s="24">
        <v>9</v>
      </c>
      <c r="K36" s="24">
        <v>10</v>
      </c>
      <c r="L36" s="24">
        <v>11</v>
      </c>
      <c r="M36" s="23">
        <v>12</v>
      </c>
      <c r="N36" s="24">
        <v>13</v>
      </c>
      <c r="O36" s="24">
        <v>14</v>
      </c>
      <c r="P36" s="24">
        <v>15</v>
      </c>
      <c r="S36" s="23" t="s">
        <v>46</v>
      </c>
      <c r="T36" s="23" t="s">
        <v>53</v>
      </c>
      <c r="U36" s="23" t="s">
        <v>57</v>
      </c>
      <c r="V36" s="61" t="s">
        <v>54</v>
      </c>
      <c r="AD36" s="2"/>
      <c r="AE36" s="2"/>
      <c r="AF36" s="46" t="s">
        <v>73</v>
      </c>
      <c r="AG36" s="47">
        <v>0.3</v>
      </c>
      <c r="AH36" s="48" t="s">
        <v>74</v>
      </c>
      <c r="AI36" s="49">
        <v>0.7</v>
      </c>
      <c r="AL36" s="1"/>
    </row>
    <row r="37" spans="1:51" ht="22.5" x14ac:dyDescent="0.25">
      <c r="A37" s="23">
        <v>2006</v>
      </c>
      <c r="B37" s="25">
        <v>20806985.16</v>
      </c>
      <c r="C37" s="25">
        <v>31443629</v>
      </c>
      <c r="D37" s="25">
        <v>32157372.759999998</v>
      </c>
      <c r="E37" s="25">
        <v>32445768.600000001</v>
      </c>
      <c r="F37" s="25">
        <v>32469872.519999996</v>
      </c>
      <c r="G37" s="25">
        <v>32490348.279999997</v>
      </c>
      <c r="H37" s="25">
        <v>32495772.68</v>
      </c>
      <c r="I37" s="25">
        <v>32497973.32</v>
      </c>
      <c r="J37" s="25">
        <v>32499286.219999999</v>
      </c>
      <c r="K37" s="25">
        <v>32500286.219999999</v>
      </c>
      <c r="L37" s="25">
        <v>32506457.159999996</v>
      </c>
      <c r="M37" s="25">
        <v>32508082.482857991</v>
      </c>
      <c r="N37" s="25">
        <v>32508732.644507647</v>
      </c>
      <c r="O37" s="25">
        <v>32509057.731834095</v>
      </c>
      <c r="P37" s="25">
        <v>32509057.731834095</v>
      </c>
      <c r="R37" s="23">
        <v>2006</v>
      </c>
      <c r="S37" s="25">
        <f t="shared" ref="S37:S51" si="33">HLOOKUP(9^9,B3:P3,1)</f>
        <v>32509057.731834095</v>
      </c>
      <c r="T37" s="25">
        <f t="shared" ref="T37:T51" si="34">P37</f>
        <v>32509057.731834095</v>
      </c>
      <c r="U37" s="35">
        <f>T37-S37</f>
        <v>0</v>
      </c>
      <c r="V37" s="25">
        <v>35000000</v>
      </c>
      <c r="AF37" s="23" t="s">
        <v>3</v>
      </c>
      <c r="AG37" s="24">
        <v>1</v>
      </c>
      <c r="AH37" s="24">
        <v>2</v>
      </c>
      <c r="AI37" s="24">
        <v>3</v>
      </c>
      <c r="AJ37" s="24">
        <v>4</v>
      </c>
      <c r="AK37" s="24">
        <v>5</v>
      </c>
      <c r="AL37" s="24">
        <v>6</v>
      </c>
      <c r="AM37" s="24">
        <v>7</v>
      </c>
      <c r="AN37" s="24">
        <v>8</v>
      </c>
      <c r="AO37" s="24">
        <v>9</v>
      </c>
      <c r="AP37" s="24">
        <v>10</v>
      </c>
      <c r="AQ37" s="24">
        <v>11</v>
      </c>
      <c r="AR37" s="23">
        <v>12</v>
      </c>
      <c r="AS37" s="24">
        <v>13</v>
      </c>
      <c r="AT37" s="24">
        <v>14</v>
      </c>
      <c r="AU37" s="24">
        <v>15</v>
      </c>
      <c r="AW37" s="23" t="s">
        <v>75</v>
      </c>
      <c r="AX37" s="23" t="s">
        <v>76</v>
      </c>
      <c r="AY37" s="23" t="s">
        <v>77</v>
      </c>
    </row>
    <row r="38" spans="1:51" x14ac:dyDescent="0.25">
      <c r="A38" s="23">
        <v>2007</v>
      </c>
      <c r="B38" s="25">
        <v>22482393.493333336</v>
      </c>
      <c r="C38" s="25">
        <v>32629776.159999996</v>
      </c>
      <c r="D38" s="25">
        <v>33130266.453333333</v>
      </c>
      <c r="E38" s="25">
        <v>33186591.120000001</v>
      </c>
      <c r="F38" s="25">
        <v>33224175.893333334</v>
      </c>
      <c r="G38" s="25">
        <v>33238369.973333329</v>
      </c>
      <c r="H38" s="25">
        <v>33238793.306666661</v>
      </c>
      <c r="I38" s="25">
        <v>33257776.933333334</v>
      </c>
      <c r="J38" s="25">
        <v>33259120.528975617</v>
      </c>
      <c r="K38" s="25">
        <v>33260143.909006301</v>
      </c>
      <c r="L38" s="25">
        <v>33266459.125772838</v>
      </c>
      <c r="M38" s="25">
        <v>33268122.44872912</v>
      </c>
      <c r="N38" s="25">
        <v>33268787.811178092</v>
      </c>
      <c r="O38" s="25">
        <v>33269120.499056205</v>
      </c>
      <c r="P38" s="27">
        <f t="shared" ref="M38:P42" si="35">IF(P4&lt;&gt;"",P4,O38*O$23)</f>
        <v>33269120.499056205</v>
      </c>
      <c r="R38" s="23">
        <v>2007</v>
      </c>
      <c r="S38" s="25">
        <f t="shared" si="33"/>
        <v>33269120.499056205</v>
      </c>
      <c r="T38" s="25">
        <f t="shared" si="34"/>
        <v>33269120.499056205</v>
      </c>
      <c r="U38" s="35">
        <f t="shared" ref="U38:U51" si="36">T38-S38</f>
        <v>0</v>
      </c>
      <c r="V38" s="25">
        <v>35000000</v>
      </c>
      <c r="AF38" s="23">
        <v>2006</v>
      </c>
      <c r="AG38" s="25">
        <f t="shared" ref="AG38:AG52" si="37">MAX(0,MIN(($AG$36*$AB6),B37-($AB6*$AI$36)))</f>
        <v>0</v>
      </c>
      <c r="AH38" s="25">
        <f t="shared" ref="AH38:AH52" si="38">MAX(0,MIN(($AG$36*$AB6),C37-($AB6*$AI$36)))</f>
        <v>6943629</v>
      </c>
      <c r="AI38" s="25">
        <f t="shared" ref="AI38:AI52" si="39">MAX(0,MIN(($AG$36*$AB6),D37-($AB6*$AI$36)))</f>
        <v>7657372.7599999979</v>
      </c>
      <c r="AJ38" s="25">
        <f t="shared" ref="AJ38:AJ52" si="40">MAX(0,MIN(($AG$36*$AB6),E37-($AB6*$AI$36)))</f>
        <v>7945768.6000000015</v>
      </c>
      <c r="AK38" s="25">
        <f t="shared" ref="AK38:AK52" si="41">MAX(0,MIN(($AG$36*$AB6),F37-($AB6*$AI$36)))</f>
        <v>7969872.5199999958</v>
      </c>
      <c r="AL38" s="25">
        <f t="shared" ref="AL38:AL52" si="42">MAX(0,MIN(($AG$36*$AB6),G37-($AB6*$AI$36)))</f>
        <v>7990348.2799999975</v>
      </c>
      <c r="AM38" s="25">
        <f t="shared" ref="AM38:AM52" si="43">MAX(0,MIN(($AG$36*$AB6),H37-($AB6*$AI$36)))</f>
        <v>7995772.6799999997</v>
      </c>
      <c r="AN38" s="25">
        <f t="shared" ref="AN38:AN52" si="44">MAX(0,MIN(($AG$36*$AB6),I37-($AB6*$AI$36)))</f>
        <v>7997973.3200000003</v>
      </c>
      <c r="AO38" s="25">
        <f t="shared" ref="AO38:AO52" si="45">MAX(0,MIN(($AG$36*$AB6),J37-($AB6*$AI$36)))</f>
        <v>7999286.2199999988</v>
      </c>
      <c r="AP38" s="25">
        <f t="shared" ref="AP38:AP52" si="46">MAX(0,MIN(($AG$36*$AB6),K37-($AB6*$AI$36)))</f>
        <v>8000286.2199999988</v>
      </c>
      <c r="AQ38" s="25">
        <f t="shared" ref="AQ38:AQ52" si="47">MAX(0,MIN(($AG$36*$AB6),L37-($AB6*$AI$36)))</f>
        <v>8006457.1599999964</v>
      </c>
      <c r="AR38" s="25">
        <f t="shared" ref="AR38:AR52" si="48">MAX(0,MIN(($AG$36*$AB6),M37-($AB6*$AI$36)))</f>
        <v>8008082.482857991</v>
      </c>
      <c r="AS38" s="25">
        <f t="shared" ref="AS38:AS52" si="49">MAX(0,MIN(($AG$36*$AB6),N37-($AB6*$AI$36)))</f>
        <v>8008732.6445076466</v>
      </c>
      <c r="AT38" s="25">
        <f t="shared" ref="AT38:AT52" si="50">MAX(0,MIN(($AG$36*$AB6),O37-($AB6*$AI$36)))</f>
        <v>8009057.731834095</v>
      </c>
      <c r="AU38" s="25">
        <f t="shared" ref="AU38:AU52" si="51">MAX(0,MIN(($AG$36*$AB6),P37-($AB6*$AI$36)))</f>
        <v>8009057.731834095</v>
      </c>
      <c r="AW38" s="25">
        <f>AA6-AU38</f>
        <v>24500000</v>
      </c>
      <c r="AX38" s="51">
        <f>AB6*(1-15%)</f>
        <v>29750000</v>
      </c>
      <c r="AY38" s="31">
        <f>AW38/AX38</f>
        <v>0.82352941176470584</v>
      </c>
    </row>
    <row r="39" spans="1:51" x14ac:dyDescent="0.25">
      <c r="A39" s="23">
        <v>2008</v>
      </c>
      <c r="B39" s="25">
        <v>18775213.493333336</v>
      </c>
      <c r="C39" s="25">
        <v>27181945.573333334</v>
      </c>
      <c r="D39" s="25">
        <v>27995132.266666666</v>
      </c>
      <c r="E39" s="25">
        <v>28094682.906666663</v>
      </c>
      <c r="F39" s="25">
        <v>28106117.893333331</v>
      </c>
      <c r="G39" s="25">
        <v>28126836.719999999</v>
      </c>
      <c r="H39" s="25">
        <v>28133467.946666662</v>
      </c>
      <c r="I39" s="25">
        <v>28142534.514282871</v>
      </c>
      <c r="J39" s="25">
        <v>28143671.456983883</v>
      </c>
      <c r="K39" s="25">
        <v>28144537.435124647</v>
      </c>
      <c r="L39" s="25">
        <v>28149881.334272619</v>
      </c>
      <c r="M39" s="25">
        <v>28151288.828339331</v>
      </c>
      <c r="N39" s="25">
        <v>28151851.854115896</v>
      </c>
      <c r="O39" s="27">
        <f t="shared" si="35"/>
        <v>28152133.372634444</v>
      </c>
      <c r="P39" s="27">
        <f t="shared" si="35"/>
        <v>28152133.372634444</v>
      </c>
      <c r="R39" s="23">
        <v>2008</v>
      </c>
      <c r="S39" s="25">
        <f t="shared" si="33"/>
        <v>28151851.854115896</v>
      </c>
      <c r="T39" s="25">
        <f t="shared" si="34"/>
        <v>28152133.372634444</v>
      </c>
      <c r="U39" s="35">
        <f>T39-S39</f>
        <v>281.51851854845881</v>
      </c>
      <c r="V39" s="25">
        <v>35000000</v>
      </c>
      <c r="AF39" s="23">
        <v>2007</v>
      </c>
      <c r="AG39" s="25">
        <f t="shared" si="37"/>
        <v>0</v>
      </c>
      <c r="AH39" s="25">
        <f t="shared" si="38"/>
        <v>8129776.1599999964</v>
      </c>
      <c r="AI39" s="25">
        <f t="shared" si="39"/>
        <v>8630266.4533333331</v>
      </c>
      <c r="AJ39" s="25">
        <f t="shared" si="40"/>
        <v>8686591.120000001</v>
      </c>
      <c r="AK39" s="25">
        <f t="shared" si="41"/>
        <v>8724175.8933333345</v>
      </c>
      <c r="AL39" s="25">
        <f t="shared" si="42"/>
        <v>8738369.973333329</v>
      </c>
      <c r="AM39" s="25">
        <f t="shared" si="43"/>
        <v>8738793.3066666611</v>
      </c>
      <c r="AN39" s="25">
        <f t="shared" si="44"/>
        <v>8757776.9333333336</v>
      </c>
      <c r="AO39" s="25">
        <f t="shared" si="45"/>
        <v>8759120.5289756171</v>
      </c>
      <c r="AP39" s="25">
        <f t="shared" si="46"/>
        <v>8760143.9090063013</v>
      </c>
      <c r="AQ39" s="25">
        <f t="shared" si="47"/>
        <v>8766459.1257728375</v>
      </c>
      <c r="AR39" s="25">
        <f t="shared" si="48"/>
        <v>8768122.4487291202</v>
      </c>
      <c r="AS39" s="25">
        <f t="shared" si="49"/>
        <v>8768787.8111780919</v>
      </c>
      <c r="AT39" s="25">
        <f t="shared" si="50"/>
        <v>8769120.4990562052</v>
      </c>
      <c r="AU39" s="25">
        <f t="shared" si="51"/>
        <v>8769120.4990562052</v>
      </c>
      <c r="AW39" s="25">
        <f t="shared" ref="AW39:AW52" si="52">AA7-AU39</f>
        <v>24500000</v>
      </c>
      <c r="AX39" s="51">
        <f t="shared" ref="AX39:AX52" si="53">AB7*(1-15%)</f>
        <v>29750000</v>
      </c>
      <c r="AY39" s="31">
        <f t="shared" ref="AY39:AY52" si="54">AW39/AX39</f>
        <v>0.82352941176470584</v>
      </c>
    </row>
    <row r="40" spans="1:51" x14ac:dyDescent="0.25">
      <c r="A40" s="23">
        <v>2009</v>
      </c>
      <c r="B40" s="25">
        <v>30145403.449999996</v>
      </c>
      <c r="C40" s="25">
        <v>44481465.599999994</v>
      </c>
      <c r="D40" s="25">
        <v>45305653.799999997</v>
      </c>
      <c r="E40" s="25">
        <v>45386248.149999999</v>
      </c>
      <c r="F40" s="25">
        <v>45957136.899999999</v>
      </c>
      <c r="G40" s="25">
        <v>45972368.300000004</v>
      </c>
      <c r="H40" s="25">
        <v>45991843.25</v>
      </c>
      <c r="I40" s="25">
        <v>46075828.050000004</v>
      </c>
      <c r="J40" s="25">
        <v>46077654.150000006</v>
      </c>
      <c r="K40" s="25">
        <v>46079071.955112338</v>
      </c>
      <c r="L40" s="25">
        <v>46087821.145392261</v>
      </c>
      <c r="M40" s="25">
        <v>46090125.536449522</v>
      </c>
      <c r="N40" s="27">
        <f t="shared" si="35"/>
        <v>46091047.338960245</v>
      </c>
      <c r="O40" s="27">
        <f t="shared" si="35"/>
        <v>46091508.249433652</v>
      </c>
      <c r="P40" s="27">
        <f t="shared" si="35"/>
        <v>46091508.249433652</v>
      </c>
      <c r="R40" s="23">
        <v>2009</v>
      </c>
      <c r="S40" s="25">
        <f t="shared" si="33"/>
        <v>46090125.536449522</v>
      </c>
      <c r="T40" s="25">
        <f t="shared" si="34"/>
        <v>46091508.249433652</v>
      </c>
      <c r="U40" s="35">
        <f t="shared" si="36"/>
        <v>1382.7129841297865</v>
      </c>
      <c r="V40" s="25">
        <v>35000000</v>
      </c>
      <c r="AF40" s="23">
        <v>2008</v>
      </c>
      <c r="AG40" s="25">
        <f t="shared" si="37"/>
        <v>0</v>
      </c>
      <c r="AH40" s="25">
        <f t="shared" si="38"/>
        <v>2681945.5733333342</v>
      </c>
      <c r="AI40" s="25">
        <f t="shared" si="39"/>
        <v>3495132.2666666657</v>
      </c>
      <c r="AJ40" s="25">
        <f t="shared" si="40"/>
        <v>3594682.9066666625</v>
      </c>
      <c r="AK40" s="25">
        <f t="shared" si="41"/>
        <v>3606117.8933333308</v>
      </c>
      <c r="AL40" s="25">
        <f t="shared" si="42"/>
        <v>3626836.7199999988</v>
      </c>
      <c r="AM40" s="25">
        <f t="shared" si="43"/>
        <v>3633467.9466666616</v>
      </c>
      <c r="AN40" s="25">
        <f t="shared" si="44"/>
        <v>3642534.514282871</v>
      </c>
      <c r="AO40" s="25">
        <f t="shared" si="45"/>
        <v>3643671.4569838829</v>
      </c>
      <c r="AP40" s="25">
        <f t="shared" si="46"/>
        <v>3644537.4351246469</v>
      </c>
      <c r="AQ40" s="25">
        <f t="shared" si="47"/>
        <v>3649881.3342726193</v>
      </c>
      <c r="AR40" s="25">
        <f t="shared" si="48"/>
        <v>3651288.8283393309</v>
      </c>
      <c r="AS40" s="25">
        <f t="shared" si="49"/>
        <v>3651851.8541158959</v>
      </c>
      <c r="AT40" s="25">
        <f t="shared" si="50"/>
        <v>3652133.3726344444</v>
      </c>
      <c r="AU40" s="25">
        <f t="shared" si="51"/>
        <v>3652133.3726344444</v>
      </c>
      <c r="AW40" s="25">
        <f t="shared" si="52"/>
        <v>24500000</v>
      </c>
      <c r="AX40" s="51">
        <f t="shared" si="53"/>
        <v>29750000</v>
      </c>
      <c r="AY40" s="31">
        <f t="shared" si="54"/>
        <v>0.82352941176470584</v>
      </c>
    </row>
    <row r="41" spans="1:51" x14ac:dyDescent="0.25">
      <c r="A41" s="23">
        <v>2010</v>
      </c>
      <c r="B41" s="25">
        <v>15983759.633333333</v>
      </c>
      <c r="C41" s="25">
        <v>21994677.000000004</v>
      </c>
      <c r="D41" s="25">
        <v>22484793.400000002</v>
      </c>
      <c r="E41" s="25">
        <v>22602638.199999999</v>
      </c>
      <c r="F41" s="25">
        <v>22651158.800000001</v>
      </c>
      <c r="G41" s="25">
        <v>22696461.117600001</v>
      </c>
      <c r="H41" s="25">
        <v>22701647.783173602</v>
      </c>
      <c r="I41" s="25">
        <v>22720190.178505305</v>
      </c>
      <c r="J41" s="25">
        <v>22721102.325596686</v>
      </c>
      <c r="K41" s="25">
        <v>22721801.451792009</v>
      </c>
      <c r="L41" s="25">
        <v>22726115.717595756</v>
      </c>
      <c r="M41" s="27">
        <f t="shared" si="35"/>
        <v>22727252.023381628</v>
      </c>
      <c r="N41" s="27">
        <f t="shared" si="35"/>
        <v>22727706.568422094</v>
      </c>
      <c r="O41" s="27">
        <f t="shared" si="35"/>
        <v>22727933.845487785</v>
      </c>
      <c r="P41" s="27">
        <f t="shared" si="35"/>
        <v>22727933.845487785</v>
      </c>
      <c r="R41" s="23">
        <v>2010</v>
      </c>
      <c r="S41" s="25">
        <f t="shared" si="33"/>
        <v>22726115.717595756</v>
      </c>
      <c r="T41" s="25">
        <f t="shared" si="34"/>
        <v>22727933.845487785</v>
      </c>
      <c r="U41" s="35">
        <f t="shared" si="36"/>
        <v>1818.1278920285404</v>
      </c>
      <c r="V41" s="25">
        <v>35000000</v>
      </c>
      <c r="AF41" s="23">
        <v>2009</v>
      </c>
      <c r="AG41" s="25">
        <f t="shared" si="37"/>
        <v>5645403.4499999955</v>
      </c>
      <c r="AH41" s="25">
        <f t="shared" si="38"/>
        <v>10500000</v>
      </c>
      <c r="AI41" s="25">
        <f t="shared" si="39"/>
        <v>10500000</v>
      </c>
      <c r="AJ41" s="25">
        <f t="shared" si="40"/>
        <v>10500000</v>
      </c>
      <c r="AK41" s="25">
        <f t="shared" si="41"/>
        <v>10500000</v>
      </c>
      <c r="AL41" s="25">
        <f t="shared" si="42"/>
        <v>10500000</v>
      </c>
      <c r="AM41" s="25">
        <f t="shared" si="43"/>
        <v>10500000</v>
      </c>
      <c r="AN41" s="25">
        <f t="shared" si="44"/>
        <v>10500000</v>
      </c>
      <c r="AO41" s="25">
        <f t="shared" si="45"/>
        <v>10500000</v>
      </c>
      <c r="AP41" s="25">
        <f t="shared" si="46"/>
        <v>10500000</v>
      </c>
      <c r="AQ41" s="25">
        <f t="shared" si="47"/>
        <v>10500000</v>
      </c>
      <c r="AR41" s="25">
        <f t="shared" si="48"/>
        <v>10500000</v>
      </c>
      <c r="AS41" s="25">
        <f t="shared" si="49"/>
        <v>10500000</v>
      </c>
      <c r="AT41" s="25">
        <f t="shared" si="50"/>
        <v>10500000</v>
      </c>
      <c r="AU41" s="25">
        <f t="shared" si="51"/>
        <v>10500000</v>
      </c>
      <c r="AW41" s="25">
        <f t="shared" si="52"/>
        <v>35591508.249433652</v>
      </c>
      <c r="AX41" s="51">
        <f t="shared" si="53"/>
        <v>29750000</v>
      </c>
      <c r="AY41" s="31">
        <f t="shared" si="54"/>
        <v>1.1963532184683581</v>
      </c>
    </row>
    <row r="42" spans="1:51" x14ac:dyDescent="0.25">
      <c r="A42" s="23">
        <v>2011</v>
      </c>
      <c r="B42" s="25">
        <v>15978380.32</v>
      </c>
      <c r="C42" s="25">
        <v>22782035.400000002</v>
      </c>
      <c r="D42" s="25">
        <v>23924404.48</v>
      </c>
      <c r="E42" s="25">
        <v>24011483.240000002</v>
      </c>
      <c r="F42" s="25">
        <v>24015146.039999999</v>
      </c>
      <c r="G42" s="25">
        <v>24063176.332079999</v>
      </c>
      <c r="H42" s="25">
        <v>24069045.502554379</v>
      </c>
      <c r="I42" s="25">
        <v>24093209.228031587</v>
      </c>
      <c r="J42" s="25">
        <v>24094174.97944491</v>
      </c>
      <c r="K42" s="25">
        <v>24094916.354957476</v>
      </c>
      <c r="L42" s="27">
        <f t="shared" ref="K42:P44" si="55">IF(L8&lt;&gt;"",L8,K42*K$23)</f>
        <v>24099491.338763002</v>
      </c>
      <c r="M42" s="27">
        <f t="shared" si="35"/>
        <v>24100696.313329931</v>
      </c>
      <c r="N42" s="27">
        <f t="shared" si="35"/>
        <v>24101178.327256195</v>
      </c>
      <c r="O42" s="27">
        <f t="shared" si="35"/>
        <v>24101419.339039475</v>
      </c>
      <c r="P42" s="27">
        <f t="shared" si="35"/>
        <v>24101419.339039475</v>
      </c>
      <c r="R42" s="23">
        <v>2011</v>
      </c>
      <c r="S42" s="25">
        <f t="shared" si="33"/>
        <v>24094916.354957476</v>
      </c>
      <c r="T42" s="25">
        <f t="shared" si="34"/>
        <v>24101419.339039475</v>
      </c>
      <c r="U42" s="35">
        <f t="shared" si="36"/>
        <v>6502.9840819984674</v>
      </c>
      <c r="V42" s="25">
        <v>35000000</v>
      </c>
      <c r="AF42" s="23">
        <v>2010</v>
      </c>
      <c r="AG42" s="25">
        <f t="shared" si="37"/>
        <v>0</v>
      </c>
      <c r="AH42" s="25">
        <f t="shared" si="38"/>
        <v>0</v>
      </c>
      <c r="AI42" s="25">
        <f t="shared" si="39"/>
        <v>0</v>
      </c>
      <c r="AJ42" s="25">
        <f t="shared" si="40"/>
        <v>0</v>
      </c>
      <c r="AK42" s="25">
        <f t="shared" si="41"/>
        <v>0</v>
      </c>
      <c r="AL42" s="25">
        <f t="shared" si="42"/>
        <v>0</v>
      </c>
      <c r="AM42" s="25">
        <f t="shared" si="43"/>
        <v>0</v>
      </c>
      <c r="AN42" s="25">
        <f t="shared" si="44"/>
        <v>0</v>
      </c>
      <c r="AO42" s="25">
        <f t="shared" si="45"/>
        <v>0</v>
      </c>
      <c r="AP42" s="25">
        <f t="shared" si="46"/>
        <v>0</v>
      </c>
      <c r="AQ42" s="25">
        <f t="shared" si="47"/>
        <v>0</v>
      </c>
      <c r="AR42" s="25">
        <f t="shared" si="48"/>
        <v>0</v>
      </c>
      <c r="AS42" s="25">
        <f t="shared" si="49"/>
        <v>0</v>
      </c>
      <c r="AT42" s="25">
        <f t="shared" si="50"/>
        <v>0</v>
      </c>
      <c r="AU42" s="25">
        <f t="shared" si="51"/>
        <v>0</v>
      </c>
      <c r="AW42" s="25">
        <f t="shared" si="52"/>
        <v>22727933.845487785</v>
      </c>
      <c r="AX42" s="51">
        <f t="shared" si="53"/>
        <v>29750000</v>
      </c>
      <c r="AY42" s="31">
        <f t="shared" si="54"/>
        <v>0.76396416287353897</v>
      </c>
    </row>
    <row r="43" spans="1:51" x14ac:dyDescent="0.25">
      <c r="A43" s="23">
        <v>2012</v>
      </c>
      <c r="B43" s="25">
        <v>12208423.6</v>
      </c>
      <c r="C43" s="25">
        <v>21266599.080000002</v>
      </c>
      <c r="D43" s="25">
        <v>21940107.960000001</v>
      </c>
      <c r="E43" s="25">
        <v>21947506.84</v>
      </c>
      <c r="F43" s="25">
        <v>22401887.919999998</v>
      </c>
      <c r="G43" s="25">
        <v>22457892.639799997</v>
      </c>
      <c r="H43" s="25">
        <v>22700492.239999998</v>
      </c>
      <c r="I43" s="25">
        <v>22723282.028761107</v>
      </c>
      <c r="J43" s="25">
        <v>22724192.86805724</v>
      </c>
      <c r="K43" s="27">
        <f t="shared" si="55"/>
        <v>22724892.08934826</v>
      </c>
      <c r="L43" s="27">
        <f t="shared" si="55"/>
        <v>22729206.941981882</v>
      </c>
      <c r="M43" s="27">
        <f t="shared" ref="M43:P43" si="56">IF(M9&lt;&gt;"",M9,L43*L$23)</f>
        <v>22730343.402328972</v>
      </c>
      <c r="N43" s="27">
        <f t="shared" si="56"/>
        <v>22730798.009197015</v>
      </c>
      <c r="O43" s="27">
        <f t="shared" si="56"/>
        <v>22731025.317177113</v>
      </c>
      <c r="P43" s="27">
        <f t="shared" si="56"/>
        <v>22731025.317177113</v>
      </c>
      <c r="R43" s="23">
        <v>2012</v>
      </c>
      <c r="S43" s="25">
        <f t="shared" si="33"/>
        <v>22724192.86805724</v>
      </c>
      <c r="T43" s="25">
        <f t="shared" si="34"/>
        <v>22731025.317177113</v>
      </c>
      <c r="U43" s="35">
        <f t="shared" si="36"/>
        <v>6832.4491198733449</v>
      </c>
      <c r="V43" s="25">
        <v>35000000</v>
      </c>
      <c r="AF43" s="23">
        <v>2011</v>
      </c>
      <c r="AG43" s="25">
        <f t="shared" si="37"/>
        <v>0</v>
      </c>
      <c r="AH43" s="25">
        <f t="shared" si="38"/>
        <v>0</v>
      </c>
      <c r="AI43" s="25">
        <f t="shared" si="39"/>
        <v>0</v>
      </c>
      <c r="AJ43" s="25">
        <f t="shared" si="40"/>
        <v>0</v>
      </c>
      <c r="AK43" s="25">
        <f t="shared" si="41"/>
        <v>0</v>
      </c>
      <c r="AL43" s="25">
        <f t="shared" si="42"/>
        <v>0</v>
      </c>
      <c r="AM43" s="25">
        <f t="shared" si="43"/>
        <v>0</v>
      </c>
      <c r="AN43" s="25">
        <f t="shared" si="44"/>
        <v>0</v>
      </c>
      <c r="AO43" s="25">
        <f t="shared" si="45"/>
        <v>0</v>
      </c>
      <c r="AP43" s="25">
        <f t="shared" si="46"/>
        <v>0</v>
      </c>
      <c r="AQ43" s="25">
        <f t="shared" si="47"/>
        <v>0</v>
      </c>
      <c r="AR43" s="25">
        <f t="shared" si="48"/>
        <v>0</v>
      </c>
      <c r="AS43" s="25">
        <f t="shared" si="49"/>
        <v>0</v>
      </c>
      <c r="AT43" s="25">
        <f t="shared" si="50"/>
        <v>0</v>
      </c>
      <c r="AU43" s="25">
        <f t="shared" si="51"/>
        <v>0</v>
      </c>
      <c r="AW43" s="25">
        <f t="shared" si="52"/>
        <v>24101419.339039475</v>
      </c>
      <c r="AX43" s="51">
        <f t="shared" si="53"/>
        <v>29750000</v>
      </c>
      <c r="AY43" s="31">
        <f t="shared" si="54"/>
        <v>0.81013174248872188</v>
      </c>
    </row>
    <row r="44" spans="1:51" x14ac:dyDescent="0.25">
      <c r="A44" s="23">
        <v>2013</v>
      </c>
      <c r="B44" s="25">
        <v>12554609.280000001</v>
      </c>
      <c r="C44" s="25">
        <v>20319976.679999996</v>
      </c>
      <c r="D44" s="25">
        <v>20708103.079999998</v>
      </c>
      <c r="E44" s="25">
        <v>20804631.880000003</v>
      </c>
      <c r="F44" s="25">
        <v>20846241.143760003</v>
      </c>
      <c r="G44" s="25">
        <v>20887933.626047522</v>
      </c>
      <c r="H44" s="25">
        <v>20928707.943137657</v>
      </c>
      <c r="I44" s="25">
        <v>20951815.677206028</v>
      </c>
      <c r="J44" s="27">
        <f t="shared" ref="J44:J45" si="57">IF(J10&lt;&gt;"",J10,I44*I$23)</f>
        <v>20952656.534368373</v>
      </c>
      <c r="K44" s="27">
        <f t="shared" si="55"/>
        <v>20953301.245651953</v>
      </c>
      <c r="L44" s="27">
        <f t="shared" si="55"/>
        <v>20957279.720300257</v>
      </c>
      <c r="M44" s="27">
        <f t="shared" si="55"/>
        <v>20958327.584286265</v>
      </c>
      <c r="N44" s="27">
        <f t="shared" si="55"/>
        <v>20958746.750837948</v>
      </c>
      <c r="O44" s="27">
        <f t="shared" si="55"/>
        <v>20958956.338305462</v>
      </c>
      <c r="P44" s="27">
        <f t="shared" si="55"/>
        <v>20958956.338305462</v>
      </c>
      <c r="R44" s="23">
        <v>2013</v>
      </c>
      <c r="S44" s="25">
        <f t="shared" si="33"/>
        <v>20951815.677206028</v>
      </c>
      <c r="T44" s="25">
        <f t="shared" si="34"/>
        <v>20958956.338305462</v>
      </c>
      <c r="U44" s="35">
        <f t="shared" si="36"/>
        <v>7140.6610994338989</v>
      </c>
      <c r="V44" s="25">
        <v>35000000</v>
      </c>
      <c r="AF44" s="23">
        <v>2012</v>
      </c>
      <c r="AG44" s="25">
        <f t="shared" si="37"/>
        <v>0</v>
      </c>
      <c r="AH44" s="25">
        <f t="shared" si="38"/>
        <v>0</v>
      </c>
      <c r="AI44" s="25">
        <f t="shared" si="39"/>
        <v>0</v>
      </c>
      <c r="AJ44" s="25">
        <f t="shared" si="40"/>
        <v>0</v>
      </c>
      <c r="AK44" s="25">
        <f t="shared" si="41"/>
        <v>0</v>
      </c>
      <c r="AL44" s="25">
        <f t="shared" si="42"/>
        <v>0</v>
      </c>
      <c r="AM44" s="25">
        <f t="shared" si="43"/>
        <v>0</v>
      </c>
      <c r="AN44" s="25">
        <f t="shared" si="44"/>
        <v>0</v>
      </c>
      <c r="AO44" s="25">
        <f t="shared" si="45"/>
        <v>0</v>
      </c>
      <c r="AP44" s="25">
        <f t="shared" si="46"/>
        <v>0</v>
      </c>
      <c r="AQ44" s="25">
        <f t="shared" si="47"/>
        <v>0</v>
      </c>
      <c r="AR44" s="25">
        <f t="shared" si="48"/>
        <v>0</v>
      </c>
      <c r="AS44" s="25">
        <f t="shared" si="49"/>
        <v>0</v>
      </c>
      <c r="AT44" s="25">
        <f t="shared" si="50"/>
        <v>0</v>
      </c>
      <c r="AU44" s="25">
        <f t="shared" si="51"/>
        <v>0</v>
      </c>
      <c r="AW44" s="25">
        <f t="shared" si="52"/>
        <v>22731025.317177113</v>
      </c>
      <c r="AX44" s="51">
        <f t="shared" si="53"/>
        <v>29750000</v>
      </c>
      <c r="AY44" s="31">
        <f t="shared" si="54"/>
        <v>0.76406807788830633</v>
      </c>
    </row>
    <row r="45" spans="1:51" x14ac:dyDescent="0.25">
      <c r="A45" s="23">
        <v>2014</v>
      </c>
      <c r="B45" s="25">
        <v>13055506.32</v>
      </c>
      <c r="C45" s="25">
        <v>20980501.159999996</v>
      </c>
      <c r="D45" s="25">
        <v>21445578.199999999</v>
      </c>
      <c r="E45" s="25">
        <v>21545309.159999993</v>
      </c>
      <c r="F45" s="25">
        <v>21657730.685622897</v>
      </c>
      <c r="G45" s="25">
        <v>21682403.911298595</v>
      </c>
      <c r="H45" s="25">
        <v>21713181.444353804</v>
      </c>
      <c r="I45" s="27">
        <f t="shared" ref="H45:I46" si="58">IF(I11&lt;&gt;"",I11,H45*H$23)</f>
        <v>21732308.910836861</v>
      </c>
      <c r="J45" s="27">
        <f t="shared" si="57"/>
        <v>21733181.091457549</v>
      </c>
      <c r="K45" s="27">
        <f t="shared" ref="K45:P45" si="59">IF(K11&lt;&gt;"",K11,J45*J$23)</f>
        <v>21733849.819408812</v>
      </c>
      <c r="L45" s="27">
        <f t="shared" si="59"/>
        <v>21737976.499472387</v>
      </c>
      <c r="M45" s="27">
        <f t="shared" si="59"/>
        <v>21739063.398297355</v>
      </c>
      <c r="N45" s="27">
        <f t="shared" si="59"/>
        <v>21739498.179565318</v>
      </c>
      <c r="O45" s="27">
        <f t="shared" si="59"/>
        <v>21739715.574547119</v>
      </c>
      <c r="P45" s="27">
        <f t="shared" si="59"/>
        <v>21739715.574547119</v>
      </c>
      <c r="R45" s="23">
        <v>2014</v>
      </c>
      <c r="S45" s="25">
        <f t="shared" si="33"/>
        <v>21713181.444353804</v>
      </c>
      <c r="T45" s="25">
        <f t="shared" si="34"/>
        <v>21739715.574547119</v>
      </c>
      <c r="U45" s="35">
        <f t="shared" si="36"/>
        <v>26534.130193315446</v>
      </c>
      <c r="V45" s="25">
        <v>35000000</v>
      </c>
      <c r="AF45" s="23">
        <v>2013</v>
      </c>
      <c r="AG45" s="25">
        <f t="shared" si="37"/>
        <v>0</v>
      </c>
      <c r="AH45" s="25">
        <f t="shared" si="38"/>
        <v>0</v>
      </c>
      <c r="AI45" s="25">
        <f t="shared" si="39"/>
        <v>0</v>
      </c>
      <c r="AJ45" s="25">
        <f t="shared" si="40"/>
        <v>0</v>
      </c>
      <c r="AK45" s="25">
        <f t="shared" si="41"/>
        <v>0</v>
      </c>
      <c r="AL45" s="25">
        <f t="shared" si="42"/>
        <v>0</v>
      </c>
      <c r="AM45" s="25">
        <f t="shared" si="43"/>
        <v>0</v>
      </c>
      <c r="AN45" s="25">
        <f t="shared" si="44"/>
        <v>0</v>
      </c>
      <c r="AO45" s="25">
        <f t="shared" si="45"/>
        <v>0</v>
      </c>
      <c r="AP45" s="25">
        <f t="shared" si="46"/>
        <v>0</v>
      </c>
      <c r="AQ45" s="25">
        <f t="shared" si="47"/>
        <v>0</v>
      </c>
      <c r="AR45" s="25">
        <f t="shared" si="48"/>
        <v>0</v>
      </c>
      <c r="AS45" s="25">
        <f t="shared" si="49"/>
        <v>0</v>
      </c>
      <c r="AT45" s="25">
        <f t="shared" si="50"/>
        <v>0</v>
      </c>
      <c r="AU45" s="25">
        <f t="shared" si="51"/>
        <v>0</v>
      </c>
      <c r="AW45" s="25">
        <f t="shared" si="52"/>
        <v>20958956.338305462</v>
      </c>
      <c r="AX45" s="51">
        <f t="shared" si="53"/>
        <v>29750000</v>
      </c>
      <c r="AY45" s="31">
        <f t="shared" si="54"/>
        <v>0.70450273406068775</v>
      </c>
    </row>
    <row r="46" spans="1:51" x14ac:dyDescent="0.25">
      <c r="A46" s="23">
        <v>2015</v>
      </c>
      <c r="B46" s="25">
        <v>17932654.079999998</v>
      </c>
      <c r="C46" s="25">
        <v>28819054.359999996</v>
      </c>
      <c r="D46" s="25">
        <v>29701682.159999996</v>
      </c>
      <c r="E46" s="25">
        <v>29789999.90513223</v>
      </c>
      <c r="F46" s="25">
        <v>29965321.013442505</v>
      </c>
      <c r="G46" s="25">
        <v>30001719.696336791</v>
      </c>
      <c r="H46" s="27">
        <f t="shared" si="58"/>
        <v>30044306.252857212</v>
      </c>
      <c r="I46" s="27">
        <f t="shared" si="58"/>
        <v>30070772.731863566</v>
      </c>
      <c r="J46" s="27">
        <f t="shared" ref="J46:P46" si="60">IF(J12&lt;&gt;"",J12,I46*I$23)</f>
        <v>30071979.55923444</v>
      </c>
      <c r="K46" s="27">
        <f t="shared" si="60"/>
        <v>30072904.871235311</v>
      </c>
      <c r="L46" s="27">
        <f t="shared" si="60"/>
        <v>30078614.916073989</v>
      </c>
      <c r="M46" s="27">
        <f t="shared" si="60"/>
        <v>30080118.846819784</v>
      </c>
      <c r="N46" s="27">
        <f t="shared" si="60"/>
        <v>30080720.449196719</v>
      </c>
      <c r="O46" s="27">
        <f t="shared" si="60"/>
        <v>30081021.256401218</v>
      </c>
      <c r="P46" s="27">
        <f t="shared" si="60"/>
        <v>30081021.256401218</v>
      </c>
      <c r="R46" s="23">
        <v>2015</v>
      </c>
      <c r="S46" s="25">
        <f t="shared" si="33"/>
        <v>30001719.696336791</v>
      </c>
      <c r="T46" s="25">
        <f t="shared" si="34"/>
        <v>30081021.256401218</v>
      </c>
      <c r="U46" s="35">
        <f t="shared" si="36"/>
        <v>79301.560064427555</v>
      </c>
      <c r="V46" s="25">
        <v>35000000</v>
      </c>
      <c r="AF46" s="23">
        <v>2014</v>
      </c>
      <c r="AG46" s="25">
        <f t="shared" si="37"/>
        <v>0</v>
      </c>
      <c r="AH46" s="25">
        <f t="shared" si="38"/>
        <v>0</v>
      </c>
      <c r="AI46" s="25">
        <f t="shared" si="39"/>
        <v>0</v>
      </c>
      <c r="AJ46" s="25">
        <f t="shared" si="40"/>
        <v>0</v>
      </c>
      <c r="AK46" s="25">
        <f t="shared" si="41"/>
        <v>0</v>
      </c>
      <c r="AL46" s="25">
        <f t="shared" si="42"/>
        <v>0</v>
      </c>
      <c r="AM46" s="25">
        <f t="shared" si="43"/>
        <v>0</v>
      </c>
      <c r="AN46" s="25">
        <f t="shared" si="44"/>
        <v>0</v>
      </c>
      <c r="AO46" s="25">
        <f t="shared" si="45"/>
        <v>0</v>
      </c>
      <c r="AP46" s="25">
        <f t="shared" si="46"/>
        <v>0</v>
      </c>
      <c r="AQ46" s="25">
        <f t="shared" si="47"/>
        <v>0</v>
      </c>
      <c r="AR46" s="25">
        <f t="shared" si="48"/>
        <v>0</v>
      </c>
      <c r="AS46" s="25">
        <f t="shared" si="49"/>
        <v>0</v>
      </c>
      <c r="AT46" s="25">
        <f t="shared" si="50"/>
        <v>0</v>
      </c>
      <c r="AU46" s="25">
        <f t="shared" si="51"/>
        <v>0</v>
      </c>
      <c r="AW46" s="25">
        <f t="shared" si="52"/>
        <v>21739715.574547119</v>
      </c>
      <c r="AX46" s="51">
        <f t="shared" si="53"/>
        <v>29750000</v>
      </c>
      <c r="AY46" s="31">
        <f t="shared" si="54"/>
        <v>0.73074674200158385</v>
      </c>
    </row>
    <row r="47" spans="1:51" x14ac:dyDescent="0.25">
      <c r="A47" s="23">
        <v>2016</v>
      </c>
      <c r="B47" s="25">
        <v>18240562.799999997</v>
      </c>
      <c r="C47" s="25">
        <v>33952022.600000001</v>
      </c>
      <c r="D47" s="25">
        <v>34229225.079999998</v>
      </c>
      <c r="E47" s="25">
        <v>34396811.960000001</v>
      </c>
      <c r="F47" s="25">
        <v>34599245.233392805</v>
      </c>
      <c r="G47" s="27">
        <f t="shared" ref="G47:H47" si="61">IF(G13&lt;&gt;"",G13,F47*F$23)</f>
        <v>34638939.997373238</v>
      </c>
      <c r="H47" s="27">
        <f t="shared" si="61"/>
        <v>34688108.951384418</v>
      </c>
      <c r="I47" s="27">
        <f t="shared" ref="I47:P47" si="62">IF(I13&lt;&gt;"",I13,H47*H$23)</f>
        <v>34718666.225684755</v>
      </c>
      <c r="J47" s="27">
        <f t="shared" si="62"/>
        <v>34720059.586509071</v>
      </c>
      <c r="K47" s="27">
        <f t="shared" si="62"/>
        <v>34721127.919498026</v>
      </c>
      <c r="L47" s="27">
        <f t="shared" si="62"/>
        <v>34727720.538272925</v>
      </c>
      <c r="M47" s="27">
        <f t="shared" si="62"/>
        <v>34729456.924299829</v>
      </c>
      <c r="N47" s="27">
        <f t="shared" si="62"/>
        <v>34730151.513438314</v>
      </c>
      <c r="O47" s="27">
        <f t="shared" si="62"/>
        <v>34730498.814953461</v>
      </c>
      <c r="P47" s="27">
        <f t="shared" si="62"/>
        <v>34730498.814953461</v>
      </c>
      <c r="R47" s="23">
        <v>2016</v>
      </c>
      <c r="S47" s="25">
        <f t="shared" si="33"/>
        <v>34599245.233392805</v>
      </c>
      <c r="T47" s="25">
        <f t="shared" si="34"/>
        <v>34730498.814953461</v>
      </c>
      <c r="U47" s="35">
        <f t="shared" si="36"/>
        <v>131253.58156065643</v>
      </c>
      <c r="V47" s="25">
        <v>35000000</v>
      </c>
      <c r="AF47" s="23">
        <v>2015</v>
      </c>
      <c r="AG47" s="25">
        <f t="shared" si="37"/>
        <v>0</v>
      </c>
      <c r="AH47" s="25">
        <f t="shared" si="38"/>
        <v>4319054.3599999957</v>
      </c>
      <c r="AI47" s="25">
        <f t="shared" si="39"/>
        <v>5201682.1599999964</v>
      </c>
      <c r="AJ47" s="25">
        <f t="shared" si="40"/>
        <v>5289999.9051322304</v>
      </c>
      <c r="AK47" s="25">
        <f t="shared" si="41"/>
        <v>5465321.0134425052</v>
      </c>
      <c r="AL47" s="25">
        <f t="shared" si="42"/>
        <v>5501719.6963367909</v>
      </c>
      <c r="AM47" s="25">
        <f t="shared" si="43"/>
        <v>5544306.252857212</v>
      </c>
      <c r="AN47" s="25">
        <f t="shared" si="44"/>
        <v>5570772.7318635657</v>
      </c>
      <c r="AO47" s="25">
        <f t="shared" si="45"/>
        <v>5571979.5592344403</v>
      </c>
      <c r="AP47" s="25">
        <f t="shared" si="46"/>
        <v>5572904.871235311</v>
      </c>
      <c r="AQ47" s="25">
        <f t="shared" si="47"/>
        <v>5578614.9160739891</v>
      </c>
      <c r="AR47" s="25">
        <f t="shared" si="48"/>
        <v>5580118.8468197845</v>
      </c>
      <c r="AS47" s="25">
        <f t="shared" si="49"/>
        <v>5580720.4491967186</v>
      </c>
      <c r="AT47" s="25">
        <f t="shared" si="50"/>
        <v>5581021.2564012185</v>
      </c>
      <c r="AU47" s="25">
        <f t="shared" si="51"/>
        <v>5581021.2564012185</v>
      </c>
      <c r="AW47" s="25">
        <f t="shared" si="52"/>
        <v>24500000</v>
      </c>
      <c r="AX47" s="51">
        <f t="shared" si="53"/>
        <v>29750000</v>
      </c>
      <c r="AY47" s="31">
        <f t="shared" si="54"/>
        <v>0.82352941176470584</v>
      </c>
    </row>
    <row r="48" spans="1:51" x14ac:dyDescent="0.25">
      <c r="A48" s="23">
        <v>2017</v>
      </c>
      <c r="B48" s="25">
        <v>22460717.32</v>
      </c>
      <c r="C48" s="25">
        <v>33170199.84</v>
      </c>
      <c r="D48" s="25">
        <v>33441019.100639381</v>
      </c>
      <c r="E48" s="25">
        <v>34502421.719999999</v>
      </c>
      <c r="F48" s="27">
        <f t="shared" ref="D48:P51" si="63">IF(F14&lt;&gt;"",F14,E48*E$23)</f>
        <v>34687155.678623989</v>
      </c>
      <c r="G48" s="27">
        <f t="shared" si="63"/>
        <v>34726951.299844265</v>
      </c>
      <c r="H48" s="27">
        <f t="shared" si="63"/>
        <v>34776245.183304325</v>
      </c>
      <c r="I48" s="27">
        <f t="shared" ref="I48:P48" si="64">IF(I14&lt;&gt;"",I14,H48*H$23)</f>
        <v>34806880.098130368</v>
      </c>
      <c r="J48" s="27">
        <f t="shared" si="64"/>
        <v>34808276.999233365</v>
      </c>
      <c r="K48" s="27">
        <f t="shared" si="64"/>
        <v>34809348.046663865</v>
      </c>
      <c r="L48" s="27">
        <f t="shared" si="64"/>
        <v>34815957.416094676</v>
      </c>
      <c r="M48" s="27">
        <f t="shared" si="64"/>
        <v>34817698.213965468</v>
      </c>
      <c r="N48" s="27">
        <f t="shared" si="64"/>
        <v>34818394.567929745</v>
      </c>
      <c r="O48" s="27">
        <f t="shared" si="64"/>
        <v>34818742.75187543</v>
      </c>
      <c r="P48" s="27">
        <f t="shared" si="64"/>
        <v>34818742.75187543</v>
      </c>
      <c r="R48" s="23">
        <v>2017</v>
      </c>
      <c r="S48" s="25">
        <f t="shared" si="33"/>
        <v>34502421.719999999</v>
      </c>
      <c r="T48" s="25">
        <f t="shared" si="34"/>
        <v>34818742.75187543</v>
      </c>
      <c r="U48" s="35">
        <f t="shared" si="36"/>
        <v>316321.03187543154</v>
      </c>
      <c r="V48" s="25">
        <v>35000000</v>
      </c>
      <c r="AF48" s="23">
        <v>2016</v>
      </c>
      <c r="AG48" s="25">
        <f t="shared" si="37"/>
        <v>0</v>
      </c>
      <c r="AH48" s="25">
        <f t="shared" si="38"/>
        <v>9452022.6000000015</v>
      </c>
      <c r="AI48" s="25">
        <f t="shared" si="39"/>
        <v>9729225.0799999982</v>
      </c>
      <c r="AJ48" s="25">
        <f t="shared" si="40"/>
        <v>9896811.9600000009</v>
      </c>
      <c r="AK48" s="25">
        <f t="shared" si="41"/>
        <v>10099245.233392805</v>
      </c>
      <c r="AL48" s="25">
        <f t="shared" si="42"/>
        <v>10138939.997373238</v>
      </c>
      <c r="AM48" s="25">
        <f t="shared" si="43"/>
        <v>10188108.951384418</v>
      </c>
      <c r="AN48" s="25">
        <f t="shared" si="44"/>
        <v>10218666.225684755</v>
      </c>
      <c r="AO48" s="25">
        <f t="shared" si="45"/>
        <v>10220059.586509071</v>
      </c>
      <c r="AP48" s="25">
        <f t="shared" si="46"/>
        <v>10221127.919498026</v>
      </c>
      <c r="AQ48" s="25">
        <f t="shared" si="47"/>
        <v>10227720.538272925</v>
      </c>
      <c r="AR48" s="25">
        <f t="shared" si="48"/>
        <v>10229456.924299829</v>
      </c>
      <c r="AS48" s="25">
        <f t="shared" si="49"/>
        <v>10230151.513438314</v>
      </c>
      <c r="AT48" s="25">
        <f t="shared" si="50"/>
        <v>10230498.814953461</v>
      </c>
      <c r="AU48" s="25">
        <f t="shared" si="51"/>
        <v>10230498.814953461</v>
      </c>
      <c r="AW48" s="25">
        <f t="shared" si="52"/>
        <v>24500000</v>
      </c>
      <c r="AX48" s="51">
        <f t="shared" si="53"/>
        <v>29750000</v>
      </c>
      <c r="AY48" s="31">
        <f t="shared" si="54"/>
        <v>0.82352941176470584</v>
      </c>
    </row>
    <row r="49" spans="1:66" x14ac:dyDescent="0.25">
      <c r="A49" s="23">
        <v>2018</v>
      </c>
      <c r="B49" s="25">
        <v>23255783.719999999</v>
      </c>
      <c r="C49" s="25">
        <v>36798444.280000001</v>
      </c>
      <c r="D49" s="25">
        <v>37699681.439999998</v>
      </c>
      <c r="E49" s="27">
        <f t="shared" si="63"/>
        <v>37944592.617585629</v>
      </c>
      <c r="F49" s="27">
        <f t="shared" si="63"/>
        <v>38147756.756599039</v>
      </c>
      <c r="G49" s="27">
        <f t="shared" ref="G49" si="65">IF(G15&lt;&gt;"",G15,F49*F$23)</f>
        <v>38191522.630409911</v>
      </c>
      <c r="H49" s="27">
        <f t="shared" ref="H49" si="66">IF(H15&lt;&gt;"",H15,G49*G$23)</f>
        <v>38245734.370722234</v>
      </c>
      <c r="I49" s="27">
        <f t="shared" ref="I49:P49" si="67">IF(I15&lt;&gt;"",I15,H49*H$23)</f>
        <v>38279425.610496126</v>
      </c>
      <c r="J49" s="27">
        <f t="shared" si="67"/>
        <v>38280961.874927372</v>
      </c>
      <c r="K49" s="27">
        <f t="shared" si="67"/>
        <v>38282139.776546985</v>
      </c>
      <c r="L49" s="27">
        <f t="shared" si="67"/>
        <v>38289408.536767542</v>
      </c>
      <c r="M49" s="27">
        <f t="shared" si="67"/>
        <v>38291323.00719437</v>
      </c>
      <c r="N49" s="27">
        <f t="shared" si="67"/>
        <v>38292088.833654508</v>
      </c>
      <c r="O49" s="27">
        <f t="shared" si="67"/>
        <v>38292471.754542857</v>
      </c>
      <c r="P49" s="27">
        <f t="shared" si="67"/>
        <v>38292471.754542857</v>
      </c>
      <c r="R49" s="23">
        <v>2018</v>
      </c>
      <c r="S49" s="25">
        <f t="shared" si="33"/>
        <v>37699681.439999998</v>
      </c>
      <c r="T49" s="25">
        <f t="shared" si="34"/>
        <v>38292471.754542857</v>
      </c>
      <c r="U49" s="35">
        <f t="shared" si="36"/>
        <v>592790.31454285979</v>
      </c>
      <c r="V49" s="25">
        <v>35000000</v>
      </c>
      <c r="AF49" s="23">
        <v>2017</v>
      </c>
      <c r="AG49" s="25">
        <f t="shared" si="37"/>
        <v>0</v>
      </c>
      <c r="AH49" s="25">
        <f t="shared" si="38"/>
        <v>8670199.8399999999</v>
      </c>
      <c r="AI49" s="25">
        <f t="shared" si="39"/>
        <v>8941019.1006393805</v>
      </c>
      <c r="AJ49" s="25">
        <f t="shared" si="40"/>
        <v>10002421.719999999</v>
      </c>
      <c r="AK49" s="25">
        <f t="shared" si="41"/>
        <v>10187155.678623989</v>
      </c>
      <c r="AL49" s="25">
        <f t="shared" si="42"/>
        <v>10226951.299844265</v>
      </c>
      <c r="AM49" s="25">
        <f t="shared" si="43"/>
        <v>10276245.183304325</v>
      </c>
      <c r="AN49" s="25">
        <f t="shared" si="44"/>
        <v>10306880.098130368</v>
      </c>
      <c r="AO49" s="25">
        <f t="shared" si="45"/>
        <v>10308276.999233365</v>
      </c>
      <c r="AP49" s="25">
        <f t="shared" si="46"/>
        <v>10309348.046663865</v>
      </c>
      <c r="AQ49" s="25">
        <f t="shared" si="47"/>
        <v>10315957.416094676</v>
      </c>
      <c r="AR49" s="25">
        <f t="shared" si="48"/>
        <v>10317698.213965468</v>
      </c>
      <c r="AS49" s="25">
        <f t="shared" si="49"/>
        <v>10318394.567929745</v>
      </c>
      <c r="AT49" s="25">
        <f t="shared" si="50"/>
        <v>10318742.75187543</v>
      </c>
      <c r="AU49" s="25">
        <f t="shared" si="51"/>
        <v>10318742.75187543</v>
      </c>
      <c r="AW49" s="25">
        <f t="shared" si="52"/>
        <v>24500000</v>
      </c>
      <c r="AX49" s="51">
        <f t="shared" si="53"/>
        <v>29750000</v>
      </c>
      <c r="AY49" s="31">
        <f t="shared" si="54"/>
        <v>0.82352941176470584</v>
      </c>
    </row>
    <row r="50" spans="1:66" x14ac:dyDescent="0.25">
      <c r="A50" s="23">
        <v>2019</v>
      </c>
      <c r="B50" s="25">
        <v>23982897.84</v>
      </c>
      <c r="C50" s="25">
        <v>37146846.079999998</v>
      </c>
      <c r="D50" s="27">
        <f t="shared" si="63"/>
        <v>37971454.881959759</v>
      </c>
      <c r="E50" s="27">
        <f t="shared" si="63"/>
        <v>38218131.601087503</v>
      </c>
      <c r="F50" s="27">
        <f t="shared" si="63"/>
        <v>38422760.331185862</v>
      </c>
      <c r="G50" s="27">
        <f t="shared" si="63"/>
        <v>38466841.709046416</v>
      </c>
      <c r="H50" s="27">
        <f t="shared" si="63"/>
        <v>38521444.256673187</v>
      </c>
      <c r="I50" s="27">
        <f t="shared" si="63"/>
        <v>38555378.373411752</v>
      </c>
      <c r="J50" s="27">
        <f t="shared" si="63"/>
        <v>38556925.712628156</v>
      </c>
      <c r="K50" s="27">
        <f t="shared" si="63"/>
        <v>38558112.105629265</v>
      </c>
      <c r="L50" s="27">
        <f t="shared" si="63"/>
        <v>38565433.265655562</v>
      </c>
      <c r="M50" s="27">
        <f t="shared" si="63"/>
        <v>38567361.537318833</v>
      </c>
      <c r="N50" s="27">
        <f t="shared" si="63"/>
        <v>38568132.884549573</v>
      </c>
      <c r="O50" s="27">
        <f t="shared" si="63"/>
        <v>38568518.565878429</v>
      </c>
      <c r="P50" s="27">
        <f t="shared" si="63"/>
        <v>38568518.565878429</v>
      </c>
      <c r="R50" s="23">
        <v>2019</v>
      </c>
      <c r="S50" s="25">
        <f t="shared" si="33"/>
        <v>37146846.079999998</v>
      </c>
      <c r="T50" s="25">
        <f t="shared" si="34"/>
        <v>38568518.565878429</v>
      </c>
      <c r="U50" s="35">
        <f t="shared" si="36"/>
        <v>1421672.4858784303</v>
      </c>
      <c r="V50" s="25">
        <v>35000000</v>
      </c>
      <c r="AF50" s="23">
        <v>2018</v>
      </c>
      <c r="AG50" s="25">
        <f t="shared" si="37"/>
        <v>0</v>
      </c>
      <c r="AH50" s="25">
        <f t="shared" si="38"/>
        <v>10500000</v>
      </c>
      <c r="AI50" s="25">
        <f t="shared" si="39"/>
        <v>10500000</v>
      </c>
      <c r="AJ50" s="25">
        <f t="shared" si="40"/>
        <v>10500000</v>
      </c>
      <c r="AK50" s="25">
        <f t="shared" si="41"/>
        <v>10500000</v>
      </c>
      <c r="AL50" s="25">
        <f t="shared" si="42"/>
        <v>10500000</v>
      </c>
      <c r="AM50" s="25">
        <f t="shared" si="43"/>
        <v>10500000</v>
      </c>
      <c r="AN50" s="25">
        <f t="shared" si="44"/>
        <v>10500000</v>
      </c>
      <c r="AO50" s="25">
        <f t="shared" si="45"/>
        <v>10500000</v>
      </c>
      <c r="AP50" s="25">
        <f t="shared" si="46"/>
        <v>10500000</v>
      </c>
      <c r="AQ50" s="25">
        <f t="shared" si="47"/>
        <v>10500000</v>
      </c>
      <c r="AR50" s="25">
        <f t="shared" si="48"/>
        <v>10500000</v>
      </c>
      <c r="AS50" s="25">
        <f t="shared" si="49"/>
        <v>10500000</v>
      </c>
      <c r="AT50" s="25">
        <f t="shared" si="50"/>
        <v>10500000</v>
      </c>
      <c r="AU50" s="25">
        <f t="shared" si="51"/>
        <v>10500000</v>
      </c>
      <c r="AW50" s="25">
        <f t="shared" si="52"/>
        <v>27792471.754542857</v>
      </c>
      <c r="AX50" s="51">
        <f t="shared" si="53"/>
        <v>29750000</v>
      </c>
      <c r="AY50" s="31">
        <f t="shared" si="54"/>
        <v>0.93420073124513803</v>
      </c>
    </row>
    <row r="51" spans="1:66" x14ac:dyDescent="0.25">
      <c r="A51" s="23">
        <v>2020</v>
      </c>
      <c r="B51" s="25">
        <v>20708116.280000001</v>
      </c>
      <c r="C51" s="27">
        <f>IF(C17&lt;&gt;"",C17,B51*B$23)</f>
        <v>31925883.603382763</v>
      </c>
      <c r="D51" s="27">
        <f t="shared" si="63"/>
        <v>32634594.231816612</v>
      </c>
      <c r="E51" s="27">
        <f t="shared" si="63"/>
        <v>32846600.715639658</v>
      </c>
      <c r="F51" s="27">
        <f t="shared" si="63"/>
        <v>33022469.025023412</v>
      </c>
      <c r="G51" s="27">
        <f t="shared" si="63"/>
        <v>33060354.79695737</v>
      </c>
      <c r="H51" s="27">
        <f t="shared" si="63"/>
        <v>33107282.995820507</v>
      </c>
      <c r="I51" s="27">
        <f t="shared" si="63"/>
        <v>33136447.696878731</v>
      </c>
      <c r="J51" s="27">
        <f t="shared" si="63"/>
        <v>33137777.55868211</v>
      </c>
      <c r="K51" s="27">
        <f t="shared" si="63"/>
        <v>33138797.205000933</v>
      </c>
      <c r="L51" s="27">
        <f t="shared" si="63"/>
        <v>33145089.381255627</v>
      </c>
      <c r="M51" s="27">
        <f t="shared" si="63"/>
        <v>33146746.635724679</v>
      </c>
      <c r="N51" s="27">
        <f t="shared" si="63"/>
        <v>33147409.570657391</v>
      </c>
      <c r="O51" s="27">
        <f t="shared" si="63"/>
        <v>33147741.044753108</v>
      </c>
      <c r="P51" s="27">
        <f t="shared" si="63"/>
        <v>33147741.044753108</v>
      </c>
      <c r="R51" s="23">
        <v>2020</v>
      </c>
      <c r="S51" s="25">
        <f t="shared" si="33"/>
        <v>20708116.280000001</v>
      </c>
      <c r="T51" s="25">
        <f t="shared" si="34"/>
        <v>33147741.044753108</v>
      </c>
      <c r="U51" s="35">
        <f t="shared" si="36"/>
        <v>12439624.764753107</v>
      </c>
      <c r="V51" s="25">
        <v>35000000</v>
      </c>
      <c r="AF51" s="23">
        <v>2019</v>
      </c>
      <c r="AG51" s="25">
        <f t="shared" si="37"/>
        <v>0</v>
      </c>
      <c r="AH51" s="25">
        <f t="shared" si="38"/>
        <v>10500000</v>
      </c>
      <c r="AI51" s="25">
        <f t="shared" si="39"/>
        <v>10500000</v>
      </c>
      <c r="AJ51" s="25">
        <f t="shared" si="40"/>
        <v>10500000</v>
      </c>
      <c r="AK51" s="25">
        <f t="shared" si="41"/>
        <v>10500000</v>
      </c>
      <c r="AL51" s="25">
        <f t="shared" si="42"/>
        <v>10500000</v>
      </c>
      <c r="AM51" s="25">
        <f t="shared" si="43"/>
        <v>10500000</v>
      </c>
      <c r="AN51" s="25">
        <f t="shared" si="44"/>
        <v>10500000</v>
      </c>
      <c r="AO51" s="25">
        <f t="shared" si="45"/>
        <v>10500000</v>
      </c>
      <c r="AP51" s="25">
        <f t="shared" si="46"/>
        <v>10500000</v>
      </c>
      <c r="AQ51" s="25">
        <f t="shared" si="47"/>
        <v>10500000</v>
      </c>
      <c r="AR51" s="25">
        <f t="shared" si="48"/>
        <v>10500000</v>
      </c>
      <c r="AS51" s="25">
        <f t="shared" si="49"/>
        <v>10500000</v>
      </c>
      <c r="AT51" s="25">
        <f t="shared" si="50"/>
        <v>10500000</v>
      </c>
      <c r="AU51" s="25">
        <f t="shared" si="51"/>
        <v>10500000</v>
      </c>
      <c r="AW51" s="25">
        <f t="shared" si="52"/>
        <v>28068518.565878429</v>
      </c>
      <c r="AX51" s="51">
        <f t="shared" si="53"/>
        <v>29750000</v>
      </c>
      <c r="AY51" s="31">
        <f t="shared" si="54"/>
        <v>0.94347961565977911</v>
      </c>
    </row>
    <row r="52" spans="1:66" x14ac:dyDescent="0.25">
      <c r="B52" s="1"/>
      <c r="C52" s="1"/>
      <c r="D52" s="1"/>
      <c r="E52" s="1"/>
      <c r="F52" s="1"/>
      <c r="G52" s="1"/>
      <c r="H52" s="1"/>
      <c r="I52" s="1"/>
      <c r="J52" s="1"/>
      <c r="K52" s="1"/>
      <c r="L52" s="1"/>
      <c r="M52" s="1"/>
      <c r="N52" s="1"/>
      <c r="O52" s="1"/>
      <c r="P52" s="1"/>
      <c r="U52" s="28">
        <f>SUM(U39:U51)</f>
        <v>15031456.322564241</v>
      </c>
      <c r="AF52" s="23">
        <v>2020</v>
      </c>
      <c r="AG52" s="25">
        <f t="shared" si="37"/>
        <v>0</v>
      </c>
      <c r="AH52" s="25">
        <f t="shared" si="38"/>
        <v>7425883.6033827625</v>
      </c>
      <c r="AI52" s="25">
        <f t="shared" si="39"/>
        <v>8134594.2318166122</v>
      </c>
      <c r="AJ52" s="25">
        <f t="shared" si="40"/>
        <v>8346600.7156396583</v>
      </c>
      <c r="AK52" s="25">
        <f t="shared" si="41"/>
        <v>8522469.025023412</v>
      </c>
      <c r="AL52" s="25">
        <f t="shared" si="42"/>
        <v>8560354.7969573699</v>
      </c>
      <c r="AM52" s="25">
        <f t="shared" si="43"/>
        <v>8607282.9958205074</v>
      </c>
      <c r="AN52" s="25">
        <f t="shared" si="44"/>
        <v>8636447.6968787313</v>
      </c>
      <c r="AO52" s="25">
        <f t="shared" si="45"/>
        <v>8637777.5586821102</v>
      </c>
      <c r="AP52" s="25">
        <f t="shared" si="46"/>
        <v>8638797.2050009333</v>
      </c>
      <c r="AQ52" s="25">
        <f t="shared" si="47"/>
        <v>8645089.3812556267</v>
      </c>
      <c r="AR52" s="25">
        <f t="shared" si="48"/>
        <v>8646746.6357246786</v>
      </c>
      <c r="AS52" s="25">
        <f t="shared" si="49"/>
        <v>8647409.5706573911</v>
      </c>
      <c r="AT52" s="25">
        <f t="shared" si="50"/>
        <v>8647741.0447531082</v>
      </c>
      <c r="AU52" s="25">
        <f t="shared" si="51"/>
        <v>8647741.0447531082</v>
      </c>
      <c r="AW52" s="25">
        <f t="shared" si="52"/>
        <v>24500000</v>
      </c>
      <c r="AX52" s="51">
        <f t="shared" si="53"/>
        <v>29750000</v>
      </c>
      <c r="AY52" s="31">
        <f t="shared" si="54"/>
        <v>0.82352941176470584</v>
      </c>
    </row>
    <row r="53" spans="1:66" x14ac:dyDescent="0.25">
      <c r="A53" s="164" t="s">
        <v>174</v>
      </c>
      <c r="B53" s="165"/>
      <c r="C53" s="1"/>
      <c r="D53" s="1"/>
      <c r="E53" s="1"/>
      <c r="F53" s="1"/>
      <c r="G53" s="1"/>
      <c r="H53" s="1"/>
      <c r="I53" s="1"/>
      <c r="J53" s="1"/>
      <c r="K53" s="1"/>
      <c r="L53" s="1"/>
      <c r="M53" s="1"/>
      <c r="N53" s="1"/>
      <c r="O53" s="1"/>
      <c r="P53" s="1"/>
      <c r="Z53" s="1"/>
      <c r="AA53" s="1"/>
      <c r="AB53" s="1"/>
      <c r="AC53" s="1"/>
      <c r="AD53" s="1"/>
      <c r="AE53" s="1"/>
      <c r="AF53" s="1"/>
      <c r="AG53" s="1"/>
      <c r="AH53" s="1"/>
      <c r="AI53" s="1"/>
      <c r="AJ53" s="1"/>
      <c r="AK53" s="1"/>
      <c r="AL53" s="11"/>
      <c r="AM53" s="1"/>
      <c r="AN53" s="1"/>
    </row>
    <row r="54" spans="1:66" x14ac:dyDescent="0.25">
      <c r="F54" s="1"/>
      <c r="G54" s="1"/>
      <c r="H54" s="1"/>
      <c r="I54" s="1"/>
      <c r="S54" s="1"/>
      <c r="T54" s="1"/>
      <c r="U54" s="1"/>
      <c r="V54" s="32"/>
      <c r="Z54" s="1"/>
      <c r="AA54" s="1"/>
      <c r="AB54" s="1"/>
      <c r="AC54" s="1"/>
      <c r="AD54" s="1"/>
      <c r="AE54" s="1"/>
      <c r="AF54" s="1"/>
      <c r="AG54" s="1"/>
      <c r="AH54" s="1"/>
      <c r="AI54" s="1"/>
      <c r="AJ54" s="1"/>
      <c r="AK54" s="1"/>
      <c r="AL54" s="11"/>
      <c r="AM54" s="1"/>
      <c r="AN54" s="1"/>
    </row>
    <row r="55" spans="1:66" x14ac:dyDescent="0.25">
      <c r="A55" s="1"/>
      <c r="B55" s="1"/>
      <c r="C55" s="1"/>
      <c r="D55" s="1"/>
      <c r="E55" s="1"/>
      <c r="F55" s="1"/>
      <c r="G55" s="1"/>
      <c r="H55" s="1"/>
      <c r="I55" s="1"/>
      <c r="S55" s="1"/>
      <c r="T55" s="1"/>
      <c r="U55" s="1"/>
      <c r="V55" s="32"/>
      <c r="Z55" s="1"/>
      <c r="AA55" s="1"/>
      <c r="AB55" s="1"/>
      <c r="AC55" s="1"/>
      <c r="AD55" s="1"/>
      <c r="AE55" s="1"/>
      <c r="AF55" s="1"/>
      <c r="AG55" s="1"/>
      <c r="AH55" s="1"/>
      <c r="AI55" s="1"/>
      <c r="AJ55" s="1"/>
      <c r="AK55" s="1"/>
      <c r="AL55" s="11"/>
      <c r="AM55" s="1"/>
      <c r="AN55" s="1"/>
    </row>
    <row r="56" spans="1:66" ht="33.75" x14ac:dyDescent="0.25">
      <c r="A56" s="32"/>
      <c r="B56" s="23" t="s">
        <v>52</v>
      </c>
      <c r="C56" s="23" t="s">
        <v>50</v>
      </c>
      <c r="D56" s="23" t="s">
        <v>51</v>
      </c>
      <c r="E56" s="23" t="s">
        <v>55</v>
      </c>
      <c r="F56" s="36" t="s">
        <v>56</v>
      </c>
      <c r="G56" s="23" t="s">
        <v>58</v>
      </c>
      <c r="K56" s="23" t="s">
        <v>59</v>
      </c>
      <c r="L56" s="23" t="s">
        <v>61</v>
      </c>
      <c r="M56" s="23" t="s">
        <v>60</v>
      </c>
      <c r="S56" s="1"/>
      <c r="T56" s="11"/>
      <c r="U56" s="11"/>
      <c r="V56" s="60"/>
      <c r="Z56" s="1"/>
      <c r="AA56" s="1"/>
      <c r="AB56" s="1"/>
      <c r="AC56" s="1"/>
      <c r="AD56" s="1"/>
      <c r="AE56" s="1"/>
    </row>
    <row r="57" spans="1:66" x14ac:dyDescent="0.25">
      <c r="A57" s="23">
        <v>2006</v>
      </c>
      <c r="B57" s="25"/>
      <c r="C57" s="34">
        <f t="shared" ref="C57:C71" si="68">T37/S37</f>
        <v>1</v>
      </c>
      <c r="D57" s="39">
        <f t="shared" ref="D57:D71" si="69">S37+E57*F57</f>
        <v>32509057.731834095</v>
      </c>
      <c r="E57" s="37">
        <f t="shared" ref="E57:E71" si="70">1-1/C57</f>
        <v>0</v>
      </c>
      <c r="F57" s="25"/>
      <c r="G57" s="25">
        <f t="shared" ref="G57:G71" si="71">D57-S37</f>
        <v>0</v>
      </c>
      <c r="J57" s="23">
        <v>2006</v>
      </c>
      <c r="K57" s="25">
        <f t="shared" ref="K57:K69" si="72">U37</f>
        <v>0</v>
      </c>
      <c r="L57" s="25">
        <f t="shared" ref="L57:L71" si="73">T3-S3</f>
        <v>0</v>
      </c>
      <c r="M57" s="25">
        <f>K57-L57</f>
        <v>0</v>
      </c>
      <c r="Z57" s="11"/>
      <c r="AA57" s="11"/>
      <c r="AB57" s="11"/>
      <c r="AC57" s="11"/>
      <c r="AD57" s="11"/>
      <c r="AE57" s="11"/>
      <c r="BB57" s="133"/>
      <c r="BC57" s="133"/>
      <c r="BD57" s="133"/>
      <c r="BE57" s="133"/>
      <c r="BF57" s="133"/>
      <c r="BG57" s="133"/>
      <c r="BH57" s="133"/>
      <c r="BN57" s="82" t="s">
        <v>85</v>
      </c>
    </row>
    <row r="58" spans="1:66" ht="15" customHeight="1" x14ac:dyDescent="0.25">
      <c r="A58" s="23">
        <v>2007</v>
      </c>
      <c r="B58" s="25"/>
      <c r="C58" s="33">
        <f t="shared" si="68"/>
        <v>1</v>
      </c>
      <c r="D58" s="39">
        <f t="shared" si="69"/>
        <v>33269120.499056205</v>
      </c>
      <c r="E58" s="37">
        <f t="shared" si="70"/>
        <v>0</v>
      </c>
      <c r="F58" s="25"/>
      <c r="G58" s="25">
        <f t="shared" si="71"/>
        <v>0</v>
      </c>
      <c r="J58" s="23">
        <v>2007</v>
      </c>
      <c r="K58" s="25">
        <f t="shared" si="72"/>
        <v>0</v>
      </c>
      <c r="L58" s="25">
        <f t="shared" si="73"/>
        <v>0</v>
      </c>
      <c r="M58" s="25">
        <f t="shared" ref="M58:M71" si="74">K58-L58</f>
        <v>0</v>
      </c>
      <c r="AF58" s="23" t="s">
        <v>3</v>
      </c>
      <c r="AG58" s="24">
        <v>1</v>
      </c>
      <c r="AH58" s="24">
        <v>2</v>
      </c>
      <c r="AI58" s="24">
        <v>3</v>
      </c>
      <c r="AJ58" s="24">
        <v>4</v>
      </c>
      <c r="AK58" s="24">
        <v>5</v>
      </c>
      <c r="AL58" s="24">
        <v>6</v>
      </c>
      <c r="AM58" s="24">
        <v>7</v>
      </c>
      <c r="AN58" s="24">
        <v>8</v>
      </c>
      <c r="AO58" s="24">
        <v>9</v>
      </c>
      <c r="AP58" s="24">
        <v>10</v>
      </c>
      <c r="AQ58" s="24">
        <v>11</v>
      </c>
      <c r="AR58" s="23">
        <v>12</v>
      </c>
      <c r="AS58" s="24">
        <v>13</v>
      </c>
      <c r="AT58" s="24">
        <v>14</v>
      </c>
      <c r="AU58" s="24">
        <v>15</v>
      </c>
      <c r="BB58" s="157" t="s">
        <v>182</v>
      </c>
      <c r="BC58" s="157"/>
      <c r="BD58" s="157"/>
      <c r="BE58" s="157"/>
      <c r="BF58" s="157"/>
      <c r="BG58" s="157"/>
      <c r="BH58" s="157"/>
      <c r="BI58" s="157"/>
      <c r="BJ58" s="157"/>
      <c r="BK58" s="157"/>
      <c r="BL58" s="157"/>
      <c r="BM58" s="157"/>
    </row>
    <row r="59" spans="1:66" x14ac:dyDescent="0.25">
      <c r="A59" s="23">
        <v>2008</v>
      </c>
      <c r="B59" s="25"/>
      <c r="C59" s="33">
        <f t="shared" si="68"/>
        <v>1.0000100000000003</v>
      </c>
      <c r="D59" s="39">
        <f t="shared" si="69"/>
        <v>28151851.854115896</v>
      </c>
      <c r="E59" s="40">
        <f t="shared" si="70"/>
        <v>9.9999000012784833E-6</v>
      </c>
      <c r="F59" s="25"/>
      <c r="G59" s="25">
        <f t="shared" si="71"/>
        <v>0</v>
      </c>
      <c r="J59" s="23">
        <v>2008</v>
      </c>
      <c r="K59" s="25">
        <f t="shared" si="72"/>
        <v>281.51851854845881</v>
      </c>
      <c r="L59" s="25">
        <f t="shared" si="73"/>
        <v>140.75925927236676</v>
      </c>
      <c r="M59" s="25">
        <f t="shared" si="74"/>
        <v>140.75925927609205</v>
      </c>
      <c r="S59" s="1"/>
      <c r="AF59" s="23">
        <v>2006</v>
      </c>
      <c r="AG59" s="31">
        <f t="shared" ref="AG59:AG73" si="75">B37/$AB6</f>
        <v>0.59448529028571429</v>
      </c>
      <c r="AH59" s="31">
        <f t="shared" ref="AH59:AH73" si="76">C37/$AB6</f>
        <v>0.8983894</v>
      </c>
      <c r="AI59" s="31">
        <f t="shared" ref="AI59:AI73" si="77">D37/$AB6</f>
        <v>0.9187820788571428</v>
      </c>
      <c r="AJ59" s="31">
        <f t="shared" ref="AJ59:AJ73" si="78">E37/$AB6</f>
        <v>0.92702196000000003</v>
      </c>
      <c r="AK59" s="31">
        <f t="shared" ref="AK59:AK73" si="79">F37/$AB6</f>
        <v>0.92771064342857135</v>
      </c>
      <c r="AL59" s="31">
        <f t="shared" ref="AL59:AL73" si="80">G37/$AB6</f>
        <v>0.92829566514285711</v>
      </c>
      <c r="AM59" s="31">
        <f t="shared" ref="AM59:AM73" si="81">H37/$AB6</f>
        <v>0.92845064799999999</v>
      </c>
      <c r="AN59" s="31">
        <f t="shared" ref="AN59:AN73" si="82">I37/$AB6</f>
        <v>0.92851352342857141</v>
      </c>
      <c r="AO59" s="31">
        <f t="shared" ref="AO59:AO73" si="83">J37/$AB6</f>
        <v>0.92855103485714285</v>
      </c>
      <c r="AP59" s="31">
        <f t="shared" ref="AP59:AP73" si="84">K37/$AB6</f>
        <v>0.92857960628571423</v>
      </c>
      <c r="AQ59" s="31">
        <f t="shared" ref="AQ59:AQ73" si="85">L37/$AB6</f>
        <v>0.9287559188571427</v>
      </c>
      <c r="AR59" s="31">
        <f t="shared" ref="AR59:AR73" si="86">M37/$AB6</f>
        <v>0.92880235665308541</v>
      </c>
      <c r="AS59" s="31">
        <f t="shared" ref="AS59:AS73" si="87">N37/$AB6</f>
        <v>0.92882093270021848</v>
      </c>
      <c r="AT59" s="31">
        <f t="shared" ref="AT59:AT73" si="88">O37/$AB6</f>
        <v>0.92883022090954559</v>
      </c>
      <c r="AU59" s="31">
        <f t="shared" ref="AU59:AU73" si="89">P37/$AB6</f>
        <v>0.92883022090954559</v>
      </c>
    </row>
    <row r="60" spans="1:66" x14ac:dyDescent="0.25">
      <c r="A60" s="23">
        <v>2009</v>
      </c>
      <c r="B60" s="25"/>
      <c r="C60" s="33">
        <f t="shared" si="68"/>
        <v>1.0000300002000002</v>
      </c>
      <c r="D60" s="39">
        <f t="shared" si="69"/>
        <v>46090125.536449522</v>
      </c>
      <c r="E60" s="40">
        <f t="shared" si="70"/>
        <v>2.9999300015237651E-5</v>
      </c>
      <c r="F60" s="25"/>
      <c r="G60" s="25">
        <f t="shared" si="71"/>
        <v>0</v>
      </c>
      <c r="J60" s="23">
        <v>2009</v>
      </c>
      <c r="K60" s="25">
        <f t="shared" si="72"/>
        <v>1382.7129841297865</v>
      </c>
      <c r="L60" s="25">
        <f t="shared" si="73"/>
        <v>230.4506276845932</v>
      </c>
      <c r="M60" s="25">
        <f t="shared" si="74"/>
        <v>1152.2623564451933</v>
      </c>
      <c r="S60" s="1"/>
      <c r="AF60" s="23">
        <v>2007</v>
      </c>
      <c r="AG60" s="31">
        <f t="shared" si="75"/>
        <v>0.64235409980952385</v>
      </c>
      <c r="AH60" s="31">
        <f t="shared" si="76"/>
        <v>0.93227931885714277</v>
      </c>
      <c r="AI60" s="31">
        <f t="shared" si="77"/>
        <v>0.94657904152380956</v>
      </c>
      <c r="AJ60" s="31">
        <f t="shared" si="78"/>
        <v>0.94818831771428569</v>
      </c>
      <c r="AK60" s="31">
        <f t="shared" si="79"/>
        <v>0.94926216838095245</v>
      </c>
      <c r="AL60" s="31">
        <f t="shared" si="80"/>
        <v>0.94966771352380941</v>
      </c>
      <c r="AM60" s="31">
        <f t="shared" si="81"/>
        <v>0.94967980876190461</v>
      </c>
      <c r="AN60" s="31">
        <f t="shared" si="82"/>
        <v>0.95022219809523811</v>
      </c>
      <c r="AO60" s="31">
        <f t="shared" si="83"/>
        <v>0.9502605865421605</v>
      </c>
      <c r="AP60" s="31">
        <f t="shared" si="84"/>
        <v>0.9502898259716086</v>
      </c>
      <c r="AQ60" s="31">
        <f t="shared" si="85"/>
        <v>0.95047026073636676</v>
      </c>
      <c r="AR60" s="31">
        <f t="shared" si="86"/>
        <v>0.95051778424940347</v>
      </c>
      <c r="AS60" s="31">
        <f t="shared" si="87"/>
        <v>0.95053679460508833</v>
      </c>
      <c r="AT60" s="31">
        <f t="shared" si="88"/>
        <v>0.95054629997303441</v>
      </c>
      <c r="AU60" s="52">
        <f t="shared" si="89"/>
        <v>0.95054629997303441</v>
      </c>
      <c r="BM60" s="87"/>
      <c r="BN60" s="74">
        <v>1.32</v>
      </c>
    </row>
    <row r="61" spans="1:66" x14ac:dyDescent="0.25">
      <c r="A61" s="23">
        <v>2010</v>
      </c>
      <c r="B61" s="25"/>
      <c r="C61" s="33">
        <f t="shared" si="68"/>
        <v>1.0000800017000098</v>
      </c>
      <c r="D61" s="39">
        <f t="shared" si="69"/>
        <v>22726115.717595756</v>
      </c>
      <c r="E61" s="40">
        <f t="shared" si="70"/>
        <v>7.9995300249713353E-5</v>
      </c>
      <c r="F61" s="25"/>
      <c r="G61" s="25">
        <f t="shared" si="71"/>
        <v>0</v>
      </c>
      <c r="J61" s="23">
        <v>2010</v>
      </c>
      <c r="K61" s="25">
        <f t="shared" si="72"/>
        <v>1818.1278920285404</v>
      </c>
      <c r="L61" s="25">
        <f t="shared" si="73"/>
        <v>113.63057858869433</v>
      </c>
      <c r="M61" s="25">
        <f t="shared" si="74"/>
        <v>1704.497313439846</v>
      </c>
      <c r="S61" s="1"/>
      <c r="AF61" s="23">
        <v>2008</v>
      </c>
      <c r="AG61" s="31">
        <f t="shared" si="75"/>
        <v>0.5364346712380953</v>
      </c>
      <c r="AH61" s="31">
        <f t="shared" si="76"/>
        <v>0.77662701638095244</v>
      </c>
      <c r="AI61" s="31">
        <f t="shared" si="77"/>
        <v>0.79986092190476188</v>
      </c>
      <c r="AJ61" s="31">
        <f t="shared" si="78"/>
        <v>0.80270522590476179</v>
      </c>
      <c r="AK61" s="31">
        <f t="shared" si="79"/>
        <v>0.8030319398095237</v>
      </c>
      <c r="AL61" s="31">
        <f t="shared" si="80"/>
        <v>0.80362390628571423</v>
      </c>
      <c r="AM61" s="31">
        <f t="shared" si="81"/>
        <v>0.80381336990476171</v>
      </c>
      <c r="AN61" s="31">
        <f t="shared" si="82"/>
        <v>0.80407241469379631</v>
      </c>
      <c r="AO61" s="31">
        <f t="shared" si="83"/>
        <v>0.80410489877096814</v>
      </c>
      <c r="AP61" s="31">
        <f t="shared" si="84"/>
        <v>0.80412964100356132</v>
      </c>
      <c r="AQ61" s="31">
        <f t="shared" si="85"/>
        <v>0.80428232383636056</v>
      </c>
      <c r="AR61" s="31">
        <f t="shared" si="86"/>
        <v>0.80432253795255226</v>
      </c>
      <c r="AS61" s="31">
        <f t="shared" si="87"/>
        <v>0.80433862440331128</v>
      </c>
      <c r="AT61" s="52">
        <f t="shared" si="88"/>
        <v>0.80434666778955555</v>
      </c>
      <c r="AU61" s="52">
        <f t="shared" si="89"/>
        <v>0.80434666778955555</v>
      </c>
      <c r="BM61" s="87"/>
    </row>
    <row r="62" spans="1:66" x14ac:dyDescent="0.25">
      <c r="A62" s="23">
        <v>2011</v>
      </c>
      <c r="B62" s="25"/>
      <c r="C62" s="33">
        <f t="shared" si="68"/>
        <v>1.0002698902949567</v>
      </c>
      <c r="D62" s="39">
        <f t="shared" si="69"/>
        <v>24094916.354957476</v>
      </c>
      <c r="E62" s="40">
        <f t="shared" si="70"/>
        <v>2.6981747383914012E-4</v>
      </c>
      <c r="F62" s="25"/>
      <c r="G62" s="25">
        <f t="shared" si="71"/>
        <v>0</v>
      </c>
      <c r="J62" s="23">
        <v>2011</v>
      </c>
      <c r="K62" s="25">
        <f t="shared" si="72"/>
        <v>6502.9840819984674</v>
      </c>
      <c r="L62" s="25">
        <f t="shared" si="73"/>
        <v>120.47458177432418</v>
      </c>
      <c r="M62" s="25">
        <f t="shared" si="74"/>
        <v>6382.5095002241433</v>
      </c>
      <c r="S62" s="1"/>
      <c r="AF62" s="23">
        <v>2009</v>
      </c>
      <c r="AG62" s="31">
        <f t="shared" si="75"/>
        <v>0.86129724142857134</v>
      </c>
      <c r="AH62" s="31">
        <f t="shared" si="76"/>
        <v>1.2708990171428569</v>
      </c>
      <c r="AI62" s="31">
        <f t="shared" si="77"/>
        <v>1.2944472514285714</v>
      </c>
      <c r="AJ62" s="31">
        <f t="shared" si="78"/>
        <v>1.2967499471428572</v>
      </c>
      <c r="AK62" s="31">
        <f t="shared" si="79"/>
        <v>1.3130610542857142</v>
      </c>
      <c r="AL62" s="31">
        <f t="shared" si="80"/>
        <v>1.3134962371428573</v>
      </c>
      <c r="AM62" s="31">
        <f t="shared" si="81"/>
        <v>1.3140526642857142</v>
      </c>
      <c r="AN62" s="31">
        <f t="shared" si="82"/>
        <v>1.3164522300000001</v>
      </c>
      <c r="AO62" s="31">
        <f t="shared" si="83"/>
        <v>1.3165044042857144</v>
      </c>
      <c r="AP62" s="31">
        <f t="shared" si="84"/>
        <v>1.3165449130032096</v>
      </c>
      <c r="AQ62" s="31">
        <f t="shared" si="85"/>
        <v>1.3167948898683504</v>
      </c>
      <c r="AR62" s="31">
        <f t="shared" si="86"/>
        <v>1.3168607296128434</v>
      </c>
      <c r="AS62" s="52">
        <f t="shared" si="87"/>
        <v>1.3168870668274355</v>
      </c>
      <c r="AT62" s="52">
        <f t="shared" si="88"/>
        <v>1.3169002356981043</v>
      </c>
      <c r="AU62" s="52">
        <f t="shared" si="89"/>
        <v>1.3169002356981043</v>
      </c>
      <c r="AW62" s="160">
        <v>0.3</v>
      </c>
      <c r="AZ62" s="163">
        <f>AY73*(AW$62)</f>
        <v>10500000</v>
      </c>
      <c r="BG62" s="160">
        <v>0.3</v>
      </c>
      <c r="BL62" s="86"/>
      <c r="BM62" s="87"/>
      <c r="BN62" s="74">
        <v>1</v>
      </c>
    </row>
    <row r="63" spans="1:66" x14ac:dyDescent="0.25">
      <c r="A63" s="23">
        <v>2012</v>
      </c>
      <c r="B63" s="25"/>
      <c r="C63" s="33">
        <f t="shared" si="68"/>
        <v>1.0003006685060079</v>
      </c>
      <c r="D63" s="39">
        <f t="shared" si="69"/>
        <v>22724192.86805724</v>
      </c>
      <c r="E63" s="40">
        <f t="shared" si="70"/>
        <v>3.0057813163009151E-4</v>
      </c>
      <c r="F63" s="25"/>
      <c r="G63" s="25">
        <f t="shared" si="71"/>
        <v>0</v>
      </c>
      <c r="J63" s="23">
        <v>2012</v>
      </c>
      <c r="K63" s="25">
        <f t="shared" si="72"/>
        <v>6832.4491198733449</v>
      </c>
      <c r="L63" s="25">
        <f t="shared" si="73"/>
        <v>113.62096434086561</v>
      </c>
      <c r="M63" s="25">
        <f t="shared" si="74"/>
        <v>6718.8281555324793</v>
      </c>
      <c r="AF63" s="23">
        <v>2010</v>
      </c>
      <c r="AG63" s="31">
        <f t="shared" si="75"/>
        <v>0.45667884666666664</v>
      </c>
      <c r="AH63" s="31">
        <f t="shared" si="76"/>
        <v>0.62841934285714296</v>
      </c>
      <c r="AI63" s="31">
        <f t="shared" si="77"/>
        <v>0.6424226685714286</v>
      </c>
      <c r="AJ63" s="31">
        <f t="shared" si="78"/>
        <v>0.64578966285714279</v>
      </c>
      <c r="AK63" s="31">
        <f t="shared" si="79"/>
        <v>0.64717596571428571</v>
      </c>
      <c r="AL63" s="31">
        <f t="shared" si="80"/>
        <v>0.64847031764571428</v>
      </c>
      <c r="AM63" s="31">
        <f t="shared" si="81"/>
        <v>0.64861850809067434</v>
      </c>
      <c r="AN63" s="31">
        <f t="shared" si="82"/>
        <v>0.64914829081443726</v>
      </c>
      <c r="AO63" s="31">
        <f t="shared" si="83"/>
        <v>0.64917435215990538</v>
      </c>
      <c r="AP63" s="31">
        <f t="shared" si="84"/>
        <v>0.64919432719405745</v>
      </c>
      <c r="AQ63" s="31">
        <f t="shared" si="85"/>
        <v>0.64931759193130734</v>
      </c>
      <c r="AR63" s="52">
        <f t="shared" si="86"/>
        <v>0.64935005781090371</v>
      </c>
      <c r="AS63" s="52">
        <f t="shared" si="87"/>
        <v>0.64936304481205986</v>
      </c>
      <c r="AT63" s="52">
        <f t="shared" si="88"/>
        <v>0.64936953844250811</v>
      </c>
      <c r="AU63" s="52">
        <f t="shared" si="89"/>
        <v>0.64936953844250811</v>
      </c>
      <c r="AW63" s="160"/>
      <c r="AZ63" s="163"/>
      <c r="BG63" s="160"/>
      <c r="BL63" s="86"/>
      <c r="BM63" s="87"/>
    </row>
    <row r="64" spans="1:66" x14ac:dyDescent="0.25">
      <c r="A64" s="23">
        <v>2013</v>
      </c>
      <c r="B64" s="25"/>
      <c r="C64" s="33">
        <f t="shared" si="68"/>
        <v>1.0003408134745668</v>
      </c>
      <c r="D64" s="39">
        <f t="shared" si="69"/>
        <v>20951815.677206028</v>
      </c>
      <c r="E64" s="40">
        <f t="shared" si="70"/>
        <v>3.4069736031572262E-4</v>
      </c>
      <c r="F64" s="25"/>
      <c r="G64" s="25">
        <f t="shared" si="71"/>
        <v>0</v>
      </c>
      <c r="J64" s="23">
        <v>2013</v>
      </c>
      <c r="K64" s="25">
        <f t="shared" si="72"/>
        <v>7140.6610994338989</v>
      </c>
      <c r="L64" s="25">
        <f t="shared" si="73"/>
        <v>104.75907838717103</v>
      </c>
      <c r="M64" s="25">
        <f t="shared" si="74"/>
        <v>7035.9020210467279</v>
      </c>
      <c r="AF64" s="23">
        <v>2011</v>
      </c>
      <c r="AG64" s="31">
        <f t="shared" si="75"/>
        <v>0.45652515199999999</v>
      </c>
      <c r="AH64" s="31">
        <f t="shared" si="76"/>
        <v>0.65091529714285723</v>
      </c>
      <c r="AI64" s="31">
        <f t="shared" si="77"/>
        <v>0.68355441371428571</v>
      </c>
      <c r="AJ64" s="31">
        <f t="shared" si="78"/>
        <v>0.68604237828571435</v>
      </c>
      <c r="AK64" s="31">
        <f t="shared" si="79"/>
        <v>0.68614702971428565</v>
      </c>
      <c r="AL64" s="31">
        <f t="shared" si="80"/>
        <v>0.68751932377371427</v>
      </c>
      <c r="AM64" s="31">
        <f t="shared" si="81"/>
        <v>0.6876870143586965</v>
      </c>
      <c r="AN64" s="31">
        <f t="shared" si="82"/>
        <v>0.68837740651518819</v>
      </c>
      <c r="AO64" s="31">
        <f t="shared" si="83"/>
        <v>0.68840499941271172</v>
      </c>
      <c r="AP64" s="31">
        <f t="shared" si="84"/>
        <v>0.68842618157021362</v>
      </c>
      <c r="AQ64" s="52">
        <f t="shared" si="85"/>
        <v>0.68855689539322862</v>
      </c>
      <c r="AR64" s="52">
        <f t="shared" si="86"/>
        <v>0.68859132323799799</v>
      </c>
      <c r="AS64" s="52">
        <f t="shared" si="87"/>
        <v>0.68860509506446277</v>
      </c>
      <c r="AT64" s="52">
        <f t="shared" si="88"/>
        <v>0.68861198111541355</v>
      </c>
      <c r="AU64" s="52">
        <f t="shared" si="89"/>
        <v>0.68861198111541355</v>
      </c>
      <c r="AW64" s="160"/>
      <c r="AZ64" s="163"/>
      <c r="BG64" s="160"/>
      <c r="BL64" s="86"/>
      <c r="BM64" s="87"/>
    </row>
    <row r="65" spans="1:66" x14ac:dyDescent="0.25">
      <c r="A65" s="23">
        <v>2014</v>
      </c>
      <c r="B65" s="25"/>
      <c r="C65" s="33">
        <f t="shared" si="68"/>
        <v>1.0012220286677618</v>
      </c>
      <c r="D65" s="39">
        <f t="shared" si="69"/>
        <v>21713181.444353804</v>
      </c>
      <c r="E65" s="40">
        <f t="shared" si="70"/>
        <v>1.2205371363910311E-3</v>
      </c>
      <c r="F65" s="25"/>
      <c r="G65" s="25">
        <f t="shared" si="71"/>
        <v>0</v>
      </c>
      <c r="H65" s="62" t="s">
        <v>78</v>
      </c>
      <c r="I65" s="62"/>
      <c r="J65" s="23">
        <v>2014</v>
      </c>
      <c r="K65" s="25">
        <f t="shared" si="72"/>
        <v>26534.130193315446</v>
      </c>
      <c r="L65" s="25">
        <f t="shared" si="73"/>
        <v>2171.3181444369256</v>
      </c>
      <c r="M65" s="25">
        <f t="shared" si="74"/>
        <v>24362.812048878521</v>
      </c>
      <c r="Q65" s="1"/>
      <c r="R65" s="1"/>
      <c r="S65" s="22"/>
      <c r="T65" s="63"/>
      <c r="U65" s="63"/>
      <c r="V65" s="63"/>
      <c r="AF65" s="23">
        <v>2012</v>
      </c>
      <c r="AG65" s="31">
        <f t="shared" si="75"/>
        <v>0.34881210285714287</v>
      </c>
      <c r="AH65" s="31">
        <f t="shared" si="76"/>
        <v>0.60761711657142858</v>
      </c>
      <c r="AI65" s="31">
        <f t="shared" si="77"/>
        <v>0.6268602274285715</v>
      </c>
      <c r="AJ65" s="31">
        <f t="shared" si="78"/>
        <v>0.62707162400000005</v>
      </c>
      <c r="AK65" s="31">
        <f t="shared" si="79"/>
        <v>0.6400539405714285</v>
      </c>
      <c r="AL65" s="31">
        <f t="shared" si="80"/>
        <v>0.64165407542285702</v>
      </c>
      <c r="AM65" s="31">
        <f t="shared" si="81"/>
        <v>0.6485854925714285</v>
      </c>
      <c r="AN65" s="31">
        <f t="shared" si="82"/>
        <v>0.6492366293931745</v>
      </c>
      <c r="AO65" s="31">
        <f t="shared" si="83"/>
        <v>0.64926265337306399</v>
      </c>
      <c r="AP65" s="52">
        <f t="shared" si="84"/>
        <v>0.64928263112423601</v>
      </c>
      <c r="AQ65" s="52">
        <f t="shared" si="85"/>
        <v>0.64940591262805381</v>
      </c>
      <c r="AR65" s="52">
        <f t="shared" si="86"/>
        <v>0.64943838292368494</v>
      </c>
      <c r="AS65" s="52">
        <f t="shared" si="87"/>
        <v>0.64945137169134326</v>
      </c>
      <c r="AT65" s="52">
        <f t="shared" si="88"/>
        <v>0.64945786620506041</v>
      </c>
      <c r="AU65" s="52">
        <f t="shared" si="89"/>
        <v>0.64945786620506041</v>
      </c>
      <c r="AW65" s="160"/>
      <c r="AZ65" s="163"/>
      <c r="BG65" s="160"/>
      <c r="BK65" s="85"/>
      <c r="BL65" s="86"/>
      <c r="BM65" s="87"/>
      <c r="BN65" s="74">
        <v>0.96</v>
      </c>
    </row>
    <row r="66" spans="1:66" x14ac:dyDescent="0.25">
      <c r="A66" s="23">
        <v>2015</v>
      </c>
      <c r="B66" s="25"/>
      <c r="C66" s="33">
        <f t="shared" si="68"/>
        <v>1.0026432338168305</v>
      </c>
      <c r="D66" s="39">
        <f t="shared" si="69"/>
        <v>30001719.696336791</v>
      </c>
      <c r="E66" s="40">
        <f t="shared" si="70"/>
        <v>2.6362655505770549E-3</v>
      </c>
      <c r="F66" s="25"/>
      <c r="G66" s="25">
        <f t="shared" si="71"/>
        <v>0</v>
      </c>
      <c r="J66" s="23">
        <v>2015</v>
      </c>
      <c r="K66" s="25">
        <f t="shared" si="72"/>
        <v>79301.560064427555</v>
      </c>
      <c r="L66" s="25">
        <f t="shared" si="73"/>
        <v>15000.859848167747</v>
      </c>
      <c r="M66" s="25">
        <f t="shared" si="74"/>
        <v>64300.700216259807</v>
      </c>
      <c r="Z66" s="63"/>
      <c r="AA66" s="63"/>
      <c r="AB66" s="63"/>
      <c r="AC66" s="63"/>
      <c r="AD66" s="63"/>
      <c r="AE66" s="63"/>
      <c r="AF66" s="23">
        <v>2013</v>
      </c>
      <c r="AG66" s="31">
        <f t="shared" si="75"/>
        <v>0.35870312228571433</v>
      </c>
      <c r="AH66" s="31">
        <f t="shared" si="76"/>
        <v>0.58057076228571414</v>
      </c>
      <c r="AI66" s="31">
        <f t="shared" si="77"/>
        <v>0.59166008799999992</v>
      </c>
      <c r="AJ66" s="31">
        <f t="shared" si="78"/>
        <v>0.5944180537142858</v>
      </c>
      <c r="AK66" s="31">
        <f t="shared" si="79"/>
        <v>0.59560688982171439</v>
      </c>
      <c r="AL66" s="31">
        <f t="shared" si="80"/>
        <v>0.59679810360135777</v>
      </c>
      <c r="AM66" s="31">
        <f t="shared" si="81"/>
        <v>0.59796308408964738</v>
      </c>
      <c r="AN66" s="31">
        <f t="shared" si="82"/>
        <v>0.59862330506302941</v>
      </c>
      <c r="AO66" s="52">
        <f t="shared" si="83"/>
        <v>0.59864732955338207</v>
      </c>
      <c r="AP66" s="52">
        <f t="shared" si="84"/>
        <v>0.59866574987577004</v>
      </c>
      <c r="AQ66" s="52">
        <f t="shared" si="85"/>
        <v>0.59877942058000733</v>
      </c>
      <c r="AR66" s="52">
        <f t="shared" si="86"/>
        <v>0.59880935955103609</v>
      </c>
      <c r="AS66" s="52">
        <f t="shared" si="87"/>
        <v>0.59882133573822705</v>
      </c>
      <c r="AT66" s="52">
        <f t="shared" si="88"/>
        <v>0.59882732395158467</v>
      </c>
      <c r="AU66" s="52">
        <f t="shared" si="89"/>
        <v>0.59882732395158467</v>
      </c>
      <c r="AW66" s="160"/>
      <c r="AZ66" s="163"/>
      <c r="BG66" s="160"/>
      <c r="BK66" s="85"/>
      <c r="BL66" s="86"/>
      <c r="BM66" s="87"/>
    </row>
    <row r="67" spans="1:66" x14ac:dyDescent="0.25">
      <c r="A67" s="23">
        <v>2016</v>
      </c>
      <c r="B67" s="25"/>
      <c r="C67" s="33">
        <f t="shared" si="68"/>
        <v>1.0037935388669688</v>
      </c>
      <c r="D67" s="39">
        <f t="shared" si="69"/>
        <v>34599245.233392805</v>
      </c>
      <c r="E67" s="40">
        <f t="shared" si="70"/>
        <v>3.7792023160965194E-3</v>
      </c>
      <c r="F67" s="25"/>
      <c r="G67" s="25">
        <f t="shared" si="71"/>
        <v>0</v>
      </c>
      <c r="J67" s="23">
        <v>2016</v>
      </c>
      <c r="K67" s="25">
        <f t="shared" si="72"/>
        <v>131253.58156065643</v>
      </c>
      <c r="L67" s="25">
        <f t="shared" si="73"/>
        <v>17299.622616693377</v>
      </c>
      <c r="M67" s="25">
        <f t="shared" si="74"/>
        <v>113953.95894396305</v>
      </c>
      <c r="Q67" s="1"/>
      <c r="R67" s="1"/>
      <c r="AF67" s="23">
        <v>2014</v>
      </c>
      <c r="AG67" s="31">
        <f t="shared" si="75"/>
        <v>0.37301446628571427</v>
      </c>
      <c r="AH67" s="31">
        <f t="shared" si="76"/>
        <v>0.59944289028571418</v>
      </c>
      <c r="AI67" s="31">
        <f t="shared" si="77"/>
        <v>0.61273080571428573</v>
      </c>
      <c r="AJ67" s="31">
        <f t="shared" si="78"/>
        <v>0.61558026171428548</v>
      </c>
      <c r="AK67" s="31">
        <f t="shared" si="79"/>
        <v>0.61879230530351137</v>
      </c>
      <c r="AL67" s="31">
        <f t="shared" si="80"/>
        <v>0.61949725460853133</v>
      </c>
      <c r="AM67" s="31">
        <f t="shared" si="81"/>
        <v>0.620376612695823</v>
      </c>
      <c r="AN67" s="52">
        <f t="shared" si="82"/>
        <v>0.62092311173819603</v>
      </c>
      <c r="AO67" s="52">
        <f t="shared" si="83"/>
        <v>0.62094803118450137</v>
      </c>
      <c r="AP67" s="52">
        <f t="shared" si="84"/>
        <v>0.62096713769739464</v>
      </c>
      <c r="AQ67" s="52">
        <f t="shared" si="85"/>
        <v>0.62108504284206822</v>
      </c>
      <c r="AR67" s="52">
        <f t="shared" si="86"/>
        <v>0.62111609709421012</v>
      </c>
      <c r="AS67" s="52">
        <f t="shared" si="87"/>
        <v>0.62112851941615199</v>
      </c>
      <c r="AT67" s="52">
        <f t="shared" si="88"/>
        <v>0.62113473070134628</v>
      </c>
      <c r="AU67" s="52">
        <f t="shared" si="89"/>
        <v>0.62113473070134628</v>
      </c>
      <c r="AW67" s="160"/>
      <c r="AZ67" s="163"/>
      <c r="BG67" s="160"/>
      <c r="BK67" s="85"/>
      <c r="BL67" s="86"/>
      <c r="BM67" s="87"/>
    </row>
    <row r="68" spans="1:66" x14ac:dyDescent="0.25">
      <c r="A68" s="23">
        <v>2017</v>
      </c>
      <c r="B68" s="25"/>
      <c r="C68" s="33">
        <f t="shared" si="68"/>
        <v>1.009168082010083</v>
      </c>
      <c r="D68" s="39">
        <f t="shared" si="69"/>
        <v>34502421.719999999</v>
      </c>
      <c r="E68" s="40">
        <f t="shared" si="70"/>
        <v>9.0847918929637395E-3</v>
      </c>
      <c r="F68" s="25"/>
      <c r="G68" s="25">
        <f t="shared" si="71"/>
        <v>0</v>
      </c>
      <c r="J68" s="23">
        <v>2017</v>
      </c>
      <c r="K68" s="25">
        <f t="shared" si="72"/>
        <v>316321.03187543154</v>
      </c>
      <c r="L68" s="25">
        <f t="shared" si="73"/>
        <v>103507.26515999436</v>
      </c>
      <c r="M68" s="25">
        <f t="shared" si="74"/>
        <v>212813.76671543717</v>
      </c>
      <c r="AF68" s="23">
        <v>2015</v>
      </c>
      <c r="AG68" s="31">
        <f t="shared" si="75"/>
        <v>0.51236154514285714</v>
      </c>
      <c r="AH68" s="31">
        <f t="shared" si="76"/>
        <v>0.82340155314285701</v>
      </c>
      <c r="AI68" s="31">
        <f t="shared" si="77"/>
        <v>0.84861949028571415</v>
      </c>
      <c r="AJ68" s="31">
        <f t="shared" si="78"/>
        <v>0.85114285443234949</v>
      </c>
      <c r="AK68" s="31">
        <f t="shared" si="79"/>
        <v>0.85615202895550013</v>
      </c>
      <c r="AL68" s="31">
        <f t="shared" si="80"/>
        <v>0.85719199132390833</v>
      </c>
      <c r="AM68" s="52">
        <f t="shared" si="81"/>
        <v>0.85840875008163464</v>
      </c>
      <c r="AN68" s="52">
        <f t="shared" si="82"/>
        <v>0.85916493519610193</v>
      </c>
      <c r="AO68" s="52">
        <f t="shared" si="83"/>
        <v>0.85919941597812688</v>
      </c>
      <c r="AP68" s="52">
        <f t="shared" si="84"/>
        <v>0.85922585346386604</v>
      </c>
      <c r="AQ68" s="52">
        <f t="shared" si="85"/>
        <v>0.85938899760211396</v>
      </c>
      <c r="AR68" s="52">
        <f t="shared" si="86"/>
        <v>0.85943196705199387</v>
      </c>
      <c r="AS68" s="52">
        <f t="shared" si="87"/>
        <v>0.85944915569133484</v>
      </c>
      <c r="AT68" s="52">
        <f t="shared" si="88"/>
        <v>0.85945775018289194</v>
      </c>
      <c r="AU68" s="52">
        <f t="shared" si="89"/>
        <v>0.85945775018289194</v>
      </c>
      <c r="AW68" s="160"/>
      <c r="AX68" s="64">
        <v>1</v>
      </c>
      <c r="AZ68" s="163"/>
      <c r="BG68" s="160"/>
      <c r="BJ68" s="84"/>
      <c r="BK68" s="85"/>
      <c r="BL68" s="86"/>
      <c r="BM68" s="87"/>
      <c r="BN68" s="74">
        <v>0.8</v>
      </c>
    </row>
    <row r="69" spans="1:66" x14ac:dyDescent="0.25">
      <c r="A69" s="23">
        <v>2018</v>
      </c>
      <c r="B69" s="25"/>
      <c r="C69" s="33">
        <f t="shared" si="68"/>
        <v>1.0157240138881889</v>
      </c>
      <c r="D69" s="39">
        <f t="shared" si="69"/>
        <v>37699681.439999998</v>
      </c>
      <c r="E69" s="40">
        <f t="shared" si="70"/>
        <v>1.5480596769586463E-2</v>
      </c>
      <c r="F69" s="25"/>
      <c r="G69" s="25">
        <f t="shared" si="71"/>
        <v>0</v>
      </c>
      <c r="J69" s="23">
        <v>2018</v>
      </c>
      <c r="K69" s="25">
        <f t="shared" si="72"/>
        <v>592790.31454285979</v>
      </c>
      <c r="L69" s="25">
        <f t="shared" si="73"/>
        <v>113099.04431999475</v>
      </c>
      <c r="M69" s="25">
        <f t="shared" si="74"/>
        <v>479691.27022286505</v>
      </c>
      <c r="AF69" s="23">
        <v>2016</v>
      </c>
      <c r="AG69" s="31">
        <f t="shared" si="75"/>
        <v>0.5211589371428571</v>
      </c>
      <c r="AH69" s="31">
        <f t="shared" si="76"/>
        <v>0.97005778857142866</v>
      </c>
      <c r="AI69" s="31">
        <f t="shared" si="77"/>
        <v>0.97797785942857141</v>
      </c>
      <c r="AJ69" s="31">
        <f t="shared" si="78"/>
        <v>0.982766056</v>
      </c>
      <c r="AK69" s="31">
        <f t="shared" si="79"/>
        <v>0.98854986381122301</v>
      </c>
      <c r="AL69" s="52">
        <f t="shared" si="80"/>
        <v>0.98968399992494971</v>
      </c>
      <c r="AM69" s="52">
        <f t="shared" si="81"/>
        <v>0.99108882718241198</v>
      </c>
      <c r="AN69" s="52">
        <f t="shared" si="82"/>
        <v>0.99196189216242159</v>
      </c>
      <c r="AO69" s="52">
        <f t="shared" si="83"/>
        <v>0.99200170247168773</v>
      </c>
      <c r="AP69" s="52">
        <f t="shared" si="84"/>
        <v>0.99203222627137222</v>
      </c>
      <c r="AQ69" s="52">
        <f t="shared" si="85"/>
        <v>0.9922205868077979</v>
      </c>
      <c r="AR69" s="52">
        <f t="shared" si="86"/>
        <v>0.99227019783713799</v>
      </c>
      <c r="AS69" s="52">
        <f t="shared" si="87"/>
        <v>0.99229004324109471</v>
      </c>
      <c r="AT69" s="52">
        <f t="shared" si="88"/>
        <v>0.99229996614152749</v>
      </c>
      <c r="AU69" s="52">
        <f t="shared" si="89"/>
        <v>0.99229996614152749</v>
      </c>
      <c r="AW69" s="160"/>
      <c r="AZ69" s="163"/>
      <c r="BG69" s="160"/>
      <c r="BJ69" s="84"/>
      <c r="BK69" s="85"/>
      <c r="BL69" s="86"/>
      <c r="BM69" s="87"/>
    </row>
    <row r="70" spans="1:66" x14ac:dyDescent="0.25">
      <c r="A70" s="23">
        <v>2019</v>
      </c>
      <c r="B70" s="31">
        <v>1.08</v>
      </c>
      <c r="C70" s="33">
        <f t="shared" si="68"/>
        <v>1.0382716875294526</v>
      </c>
      <c r="D70" s="38">
        <f t="shared" si="69"/>
        <v>38540190.236437157</v>
      </c>
      <c r="E70" s="40">
        <f t="shared" si="70"/>
        <v>3.6860956519501498E-2</v>
      </c>
      <c r="F70" s="25">
        <f>B70*V50</f>
        <v>37800000</v>
      </c>
      <c r="G70" s="27">
        <f t="shared" si="71"/>
        <v>1393344.1564371586</v>
      </c>
      <c r="J70" s="23">
        <v>2019</v>
      </c>
      <c r="K70" s="25">
        <f>D70</f>
        <v>38540190.236437157</v>
      </c>
      <c r="L70" s="25">
        <f t="shared" si="73"/>
        <v>371468.46079999954</v>
      </c>
      <c r="M70" s="25">
        <f t="shared" si="74"/>
        <v>38168721.775637157</v>
      </c>
      <c r="AF70" s="23">
        <v>2017</v>
      </c>
      <c r="AG70" s="31">
        <f t="shared" si="75"/>
        <v>0.64173478057142863</v>
      </c>
      <c r="AH70" s="31">
        <f t="shared" si="76"/>
        <v>0.94771999542857144</v>
      </c>
      <c r="AI70" s="31">
        <f t="shared" si="77"/>
        <v>0.9554576885896966</v>
      </c>
      <c r="AJ70" s="31">
        <f t="shared" si="78"/>
        <v>0.98578347771428565</v>
      </c>
      <c r="AK70" s="52">
        <f t="shared" si="79"/>
        <v>0.9910615908178283</v>
      </c>
      <c r="AL70" s="52">
        <f t="shared" si="80"/>
        <v>0.99219860856697895</v>
      </c>
      <c r="AM70" s="52">
        <f t="shared" si="81"/>
        <v>0.99360700523726642</v>
      </c>
      <c r="AN70" s="52">
        <f t="shared" si="82"/>
        <v>0.99448228851801046</v>
      </c>
      <c r="AO70" s="52">
        <f t="shared" si="83"/>
        <v>0.9945221999780961</v>
      </c>
      <c r="AP70" s="52">
        <f t="shared" si="84"/>
        <v>0.9945528013332533</v>
      </c>
      <c r="AQ70" s="52">
        <f t="shared" si="85"/>
        <v>0.99474164045984792</v>
      </c>
      <c r="AR70" s="52">
        <f t="shared" si="86"/>
        <v>0.99479137754187053</v>
      </c>
      <c r="AS70" s="52">
        <f t="shared" si="87"/>
        <v>0.99481127336942132</v>
      </c>
      <c r="AT70" s="52">
        <f t="shared" si="88"/>
        <v>0.99482122148215513</v>
      </c>
      <c r="AU70" s="52">
        <f t="shared" si="89"/>
        <v>0.99482122148215513</v>
      </c>
      <c r="AW70" s="161">
        <v>0.7</v>
      </c>
      <c r="AZ70" s="162">
        <f>AY73*AW70</f>
        <v>24500000</v>
      </c>
      <c r="BG70" s="161">
        <v>0.7</v>
      </c>
      <c r="BJ70" s="84"/>
      <c r="BK70" s="85"/>
      <c r="BL70" s="86"/>
      <c r="BM70" s="87"/>
      <c r="BN70" s="74">
        <v>0.6</v>
      </c>
    </row>
    <row r="71" spans="1:66" x14ac:dyDescent="0.25">
      <c r="A71" s="23">
        <v>2020</v>
      </c>
      <c r="B71" s="31">
        <f>93%</f>
        <v>0.93</v>
      </c>
      <c r="C71" s="33">
        <f t="shared" si="68"/>
        <v>1.6007125224020187</v>
      </c>
      <c r="D71" s="38">
        <f t="shared" si="69"/>
        <v>32923421.858321033</v>
      </c>
      <c r="E71" s="40">
        <f t="shared" si="70"/>
        <v>0.37527820517115307</v>
      </c>
      <c r="F71" s="25">
        <f>B71*V51</f>
        <v>32550000</v>
      </c>
      <c r="G71" s="27">
        <f t="shared" si="71"/>
        <v>12215305.578321032</v>
      </c>
      <c r="J71" s="23">
        <v>2020</v>
      </c>
      <c r="K71" s="25">
        <f>D71</f>
        <v>32923421.858321033</v>
      </c>
      <c r="L71" s="25">
        <f t="shared" si="73"/>
        <v>4141623.256000001</v>
      </c>
      <c r="M71" s="25">
        <f t="shared" si="74"/>
        <v>28781798.602321032</v>
      </c>
      <c r="AF71" s="23">
        <v>2018</v>
      </c>
      <c r="AG71" s="31">
        <f t="shared" si="75"/>
        <v>0.66445096342857135</v>
      </c>
      <c r="AH71" s="31">
        <f t="shared" si="76"/>
        <v>1.0513841222857143</v>
      </c>
      <c r="AI71" s="31">
        <f t="shared" si="77"/>
        <v>1.0771337554285714</v>
      </c>
      <c r="AJ71" s="52">
        <f t="shared" si="78"/>
        <v>1.0841312176453037</v>
      </c>
      <c r="AK71" s="52">
        <f t="shared" si="79"/>
        <v>1.089935907331401</v>
      </c>
      <c r="AL71" s="52">
        <f t="shared" si="80"/>
        <v>1.0911863608688546</v>
      </c>
      <c r="AM71" s="52">
        <f t="shared" si="81"/>
        <v>1.0927352677349209</v>
      </c>
      <c r="AN71" s="52">
        <f t="shared" si="82"/>
        <v>1.0936978745856036</v>
      </c>
      <c r="AO71" s="52">
        <f t="shared" si="83"/>
        <v>1.0937417678550678</v>
      </c>
      <c r="AP71" s="52">
        <f t="shared" si="84"/>
        <v>1.0937754221870568</v>
      </c>
      <c r="AQ71" s="52">
        <f t="shared" si="85"/>
        <v>1.0939831010505012</v>
      </c>
      <c r="AR71" s="52">
        <f t="shared" si="86"/>
        <v>1.0940378002055535</v>
      </c>
      <c r="AS71" s="52">
        <f t="shared" si="87"/>
        <v>1.0940596809615575</v>
      </c>
      <c r="AT71" s="52">
        <f t="shared" si="88"/>
        <v>1.0940706215583673</v>
      </c>
      <c r="AU71" s="52">
        <f t="shared" si="89"/>
        <v>1.0940706215583673</v>
      </c>
      <c r="AW71" s="161"/>
      <c r="AZ71" s="162"/>
      <c r="BG71" s="161"/>
      <c r="BJ71" s="84"/>
      <c r="BK71" s="85"/>
      <c r="BL71" s="86"/>
      <c r="BM71" s="87"/>
    </row>
    <row r="72" spans="1:66" ht="15.75" x14ac:dyDescent="0.25">
      <c r="G72" s="41">
        <f>SUM(G70:G71)</f>
        <v>13608649.734758191</v>
      </c>
      <c r="AF72" s="23">
        <v>2019</v>
      </c>
      <c r="AG72" s="31">
        <f t="shared" si="75"/>
        <v>0.68522565257142853</v>
      </c>
      <c r="AH72" s="31">
        <f t="shared" si="76"/>
        <v>1.0613384594285713</v>
      </c>
      <c r="AI72" s="52">
        <f t="shared" si="77"/>
        <v>1.0848987109131361</v>
      </c>
      <c r="AJ72" s="52">
        <f t="shared" si="78"/>
        <v>1.0919466171739287</v>
      </c>
      <c r="AK72" s="52">
        <f t="shared" si="79"/>
        <v>1.0977931523195961</v>
      </c>
      <c r="AL72" s="52">
        <f t="shared" si="80"/>
        <v>1.0990526202584689</v>
      </c>
      <c r="AM72" s="52">
        <f t="shared" si="81"/>
        <v>1.1006126930478053</v>
      </c>
      <c r="AN72" s="52">
        <f t="shared" si="82"/>
        <v>1.1015822392403358</v>
      </c>
      <c r="AO72" s="52">
        <f t="shared" si="83"/>
        <v>1.1016264489322329</v>
      </c>
      <c r="AP72" s="52">
        <f t="shared" si="84"/>
        <v>1.101660345875122</v>
      </c>
      <c r="AQ72" s="52">
        <f t="shared" si="85"/>
        <v>1.1018695218758732</v>
      </c>
      <c r="AR72" s="52">
        <f t="shared" si="86"/>
        <v>1.1019246153519666</v>
      </c>
      <c r="AS72" s="52">
        <f t="shared" si="87"/>
        <v>1.1019466538442735</v>
      </c>
      <c r="AT72" s="52">
        <f t="shared" si="88"/>
        <v>1.1019576733108123</v>
      </c>
      <c r="AU72" s="52">
        <f t="shared" si="89"/>
        <v>1.1019576733108123</v>
      </c>
      <c r="AW72" s="161"/>
      <c r="AY72" s="22"/>
      <c r="AZ72" s="162"/>
      <c r="BG72" s="161"/>
      <c r="BI72" s="88"/>
      <c r="BJ72" s="84"/>
      <c r="BK72" s="85"/>
      <c r="BL72" s="86"/>
      <c r="BM72" s="87"/>
      <c r="BN72" s="74">
        <v>0.4</v>
      </c>
    </row>
    <row r="73" spans="1:66" x14ac:dyDescent="0.25">
      <c r="AF73" s="23">
        <v>2020</v>
      </c>
      <c r="AG73" s="31">
        <f t="shared" si="75"/>
        <v>0.59166046514285719</v>
      </c>
      <c r="AH73" s="52">
        <f t="shared" si="76"/>
        <v>0.91216810295379325</v>
      </c>
      <c r="AI73" s="52">
        <f t="shared" si="77"/>
        <v>0.93241697805190316</v>
      </c>
      <c r="AJ73" s="52">
        <f t="shared" si="78"/>
        <v>0.93847430616113314</v>
      </c>
      <c r="AK73" s="52">
        <f t="shared" si="79"/>
        <v>0.94349911500066896</v>
      </c>
      <c r="AL73" s="52">
        <f t="shared" si="80"/>
        <v>0.9445815656273534</v>
      </c>
      <c r="AM73" s="52">
        <f t="shared" si="81"/>
        <v>0.94592237130915735</v>
      </c>
      <c r="AN73" s="52">
        <f t="shared" si="82"/>
        <v>0.94675564848224947</v>
      </c>
      <c r="AO73" s="52">
        <f t="shared" si="83"/>
        <v>0.94679364453377457</v>
      </c>
      <c r="AP73" s="52">
        <f t="shared" si="84"/>
        <v>0.94682277728574094</v>
      </c>
      <c r="AQ73" s="52">
        <f t="shared" si="85"/>
        <v>0.94700255375016074</v>
      </c>
      <c r="AR73" s="52">
        <f t="shared" si="86"/>
        <v>0.94704990387784793</v>
      </c>
      <c r="AS73" s="52">
        <f t="shared" si="87"/>
        <v>0.94706884487592546</v>
      </c>
      <c r="AT73" s="52">
        <f t="shared" si="88"/>
        <v>0.9470783155643745</v>
      </c>
      <c r="AU73" s="52">
        <f t="shared" si="89"/>
        <v>0.9470783155643745</v>
      </c>
      <c r="AW73" s="161"/>
      <c r="AX73" s="14"/>
      <c r="AY73" s="65">
        <f t="shared" ref="AY73" si="90">35000000</f>
        <v>35000000</v>
      </c>
      <c r="AZ73" s="162"/>
      <c r="BG73" s="161"/>
      <c r="BH73" s="83"/>
      <c r="BI73" s="88"/>
      <c r="BJ73" s="84"/>
      <c r="BK73" s="85"/>
      <c r="BL73" s="86"/>
      <c r="BM73" s="87"/>
      <c r="BN73" s="74">
        <v>0.2</v>
      </c>
    </row>
    <row r="74" spans="1:66" x14ac:dyDescent="0.25">
      <c r="AW74" t="s">
        <v>79</v>
      </c>
      <c r="AX74" s="157" t="s">
        <v>80</v>
      </c>
      <c r="AY74" s="157"/>
      <c r="AZ74" s="157"/>
      <c r="BA74" s="157"/>
      <c r="BB74" s="157"/>
      <c r="BC74" s="157"/>
      <c r="BD74" s="157"/>
      <c r="BG74" s="126" t="s">
        <v>177</v>
      </c>
      <c r="BH74" s="134">
        <v>0.2</v>
      </c>
      <c r="BI74" s="134">
        <v>0.4</v>
      </c>
      <c r="BJ74" s="134">
        <v>0.7</v>
      </c>
      <c r="BK74" s="134">
        <v>0.7</v>
      </c>
      <c r="BL74" s="134">
        <v>0.7</v>
      </c>
      <c r="BM74" s="134">
        <v>1.02</v>
      </c>
      <c r="BN74" s="22"/>
    </row>
    <row r="75" spans="1:66" x14ac:dyDescent="0.25">
      <c r="BG75" s="126" t="s">
        <v>178</v>
      </c>
      <c r="BH75" s="130" t="s">
        <v>108</v>
      </c>
      <c r="BI75" s="130" t="s">
        <v>108</v>
      </c>
      <c r="BJ75" s="134">
        <v>0.1</v>
      </c>
      <c r="BK75" s="134">
        <v>0.16</v>
      </c>
      <c r="BL75" s="134">
        <v>0.3</v>
      </c>
      <c r="BM75" s="134">
        <v>0.3</v>
      </c>
      <c r="BN75" s="22"/>
    </row>
    <row r="78" spans="1:66" ht="18" x14ac:dyDescent="0.25">
      <c r="AF78" s="93" t="s">
        <v>104</v>
      </c>
      <c r="AG78" s="26">
        <v>1</v>
      </c>
      <c r="AH78" s="26">
        <v>2</v>
      </c>
      <c r="AI78" s="26">
        <v>3</v>
      </c>
      <c r="AJ78" s="26">
        <v>4</v>
      </c>
      <c r="AK78" s="26">
        <v>5</v>
      </c>
      <c r="AL78" s="26">
        <v>6</v>
      </c>
      <c r="AM78" s="26">
        <v>7</v>
      </c>
      <c r="AN78" s="26">
        <v>8</v>
      </c>
      <c r="AO78" s="26">
        <v>9</v>
      </c>
      <c r="AP78" s="26">
        <v>10</v>
      </c>
      <c r="AQ78" s="26">
        <v>11</v>
      </c>
      <c r="AR78" s="26">
        <v>12</v>
      </c>
      <c r="AS78" s="26">
        <v>13</v>
      </c>
      <c r="AT78" s="26">
        <v>14</v>
      </c>
      <c r="AU78" s="26">
        <v>15</v>
      </c>
      <c r="AV78" s="26" t="s">
        <v>47</v>
      </c>
    </row>
    <row r="79" spans="1:66" x14ac:dyDescent="0.25">
      <c r="AF79" s="94" t="s">
        <v>105</v>
      </c>
      <c r="AG79" s="44">
        <f>(AH52+AI51+AJ50+AK49+AL48+AM47+AN46+AO45+AP44+AQ43+AR42+AS41+AT40+AU39)-(AG52+AH51+AI50+AJ49+AK48+AL47+AM46+AN45+AO44+AP43+AQ42+AR41+AS40+AT39)</f>
        <v>7693180.4010261446</v>
      </c>
      <c r="AH79" s="44">
        <f>(AI52+AJ51+AK50+AL49+AM48+AN47+AO46+AP45+AQ44+AR43+AS42+AT41+AU40)-(AH52+AI51+AJ50+AK49+AL48+AM47+AN46+AO45+AP44+AQ43+AR42+AS41+AT40)</f>
        <v>824141.68267166615</v>
      </c>
      <c r="AI79" s="44">
        <f>(AJ52+AK51+AL50+AM49+AN48+AO47+AP46+AQ45+AR44+AS43+AT42+AU41)-(AI52+AJ51+AK50+AL49+AM48+AN47+AO46+AP45+AQ44+AR43+AS42+AT41)</f>
        <v>293064.46895431727</v>
      </c>
      <c r="AJ79" s="44">
        <f>(AK52+AL51+AM50+AN49+AO48+AP47+AQ46+AR45+AS44+AT43+AU42)-(AJ52+AK51+AL50+AM49+AN48+AO47+AP46+AQ45+AR44+AS43+AT42)</f>
        <v>208821.89703498036</v>
      </c>
      <c r="AK79" s="44">
        <f>(AL52+AM51+AN50+AO49+AP48+AQ47+AR46+AS45+AT44+AU43)-(AK52+AL51+AM50+AN49+AO48+AP47+AQ46+AR45+AS44+AT43)</f>
        <v>46061.050864599645</v>
      </c>
      <c r="AL79" s="44">
        <f>(AM52+AN51+AO50+AP49+AQ48+AR47+AS46+AT45+AU44)-(AL52+AM51+AN50+AO49+AP48+AQ47+AR46+AS45+AT44)</f>
        <v>56095.795814320445</v>
      </c>
      <c r="AM79" s="44">
        <f>(AN52+AO51+AP50+AQ49+AR48+AS47+AT46+AU45)-(AM52+AN51+AO50+AP49+AQ48+AR47+AS46+AT45)</f>
        <v>38112.05889287591</v>
      </c>
      <c r="AN79" s="44">
        <f>(AO52+AP51+AQ50+AR49+AS48+AT47+AU46)-(AN52+AO51+AP50+AQ49+AR48+AS47+AT46)</f>
        <v>4066.0560171529651</v>
      </c>
      <c r="AO79" s="44">
        <f>(AP52+AQ51+AR50+AS49+AT48+AU47)-(AO52+AP51+AQ50+AR49+AS48+AT47)</f>
        <v>2063.3017982542515</v>
      </c>
      <c r="AP79" s="44">
        <f>(AQ52+AR51+AS50+AT49+AU48)-(AP52+AQ51+AR50+AS49+AT48)</f>
        <v>6640.3602003753185</v>
      </c>
      <c r="AQ79" s="44">
        <f>(AR52+AS51+AT50+AU49)-(AQ52+AR51+AS50+AT49)</f>
        <v>1657.2544690519571</v>
      </c>
      <c r="AR79" s="44">
        <f>(AS52+AT51+AU50)-(AR52+AS51+AT50)</f>
        <v>662.93493271246552</v>
      </c>
      <c r="AS79" s="44">
        <f>(AT52+AU51)-(AS52+AT51)</f>
        <v>331.47409571707249</v>
      </c>
      <c r="AT79" s="44">
        <f>(AU52)-(AT52)</f>
        <v>0</v>
      </c>
      <c r="AU79" s="44">
        <f>0</f>
        <v>0</v>
      </c>
      <c r="AV79" s="44">
        <f>SUM(AG79:AU79)</f>
        <v>9174898.7367721684</v>
      </c>
      <c r="AW79" s="2">
        <f>AV79/U52</f>
        <v>0.61037989532653658</v>
      </c>
    </row>
    <row r="82" spans="32:46" ht="19.5" customHeight="1" x14ac:dyDescent="0.25"/>
    <row r="83" spans="32:46" x14ac:dyDescent="0.25">
      <c r="AF83" s="89" t="s">
        <v>81</v>
      </c>
      <c r="AG83" s="67"/>
      <c r="AH83" s="67"/>
      <c r="AI83" s="67"/>
      <c r="AJ83" s="67" t="s">
        <v>82</v>
      </c>
      <c r="AK83" s="67"/>
      <c r="AL83" s="67"/>
      <c r="AM83" s="67"/>
      <c r="AN83" s="67"/>
      <c r="AO83" s="67"/>
      <c r="AP83" s="67"/>
      <c r="AQ83" s="67"/>
      <c r="AR83" s="75"/>
      <c r="AS83" s="73"/>
      <c r="AT83" s="73"/>
    </row>
    <row r="84" spans="32:46" ht="45" x14ac:dyDescent="0.25">
      <c r="AF84" s="26" t="s">
        <v>91</v>
      </c>
      <c r="AG84" s="26" t="s">
        <v>92</v>
      </c>
      <c r="AH84" s="26" t="s">
        <v>94</v>
      </c>
      <c r="AI84" s="26" t="s">
        <v>82</v>
      </c>
      <c r="AJ84" s="26" t="s">
        <v>62</v>
      </c>
      <c r="AK84" s="26" t="s">
        <v>84</v>
      </c>
      <c r="AL84" s="26" t="s">
        <v>93</v>
      </c>
      <c r="AM84" s="79" t="s">
        <v>85</v>
      </c>
      <c r="AN84" s="79" t="s">
        <v>95</v>
      </c>
      <c r="AO84" s="79" t="s">
        <v>96</v>
      </c>
      <c r="AP84" s="79" t="s">
        <v>97</v>
      </c>
      <c r="AQ84" s="92" t="s">
        <v>98</v>
      </c>
      <c r="AR84" s="79" t="s">
        <v>99</v>
      </c>
      <c r="AS84" s="79" t="s">
        <v>100</v>
      </c>
      <c r="AT84" s="79" t="s">
        <v>101</v>
      </c>
    </row>
    <row r="85" spans="32:46" x14ac:dyDescent="0.25">
      <c r="AF85" s="68">
        <f>$AG$36</f>
        <v>0.3</v>
      </c>
      <c r="AG85" s="68">
        <f>$AI$36</f>
        <v>0.7</v>
      </c>
      <c r="AH85" s="31">
        <f>15%</f>
        <v>0.15</v>
      </c>
      <c r="AI85" s="25">
        <v>1</v>
      </c>
      <c r="AJ85" s="25">
        <f>AB6</f>
        <v>35000000</v>
      </c>
      <c r="AK85" s="25">
        <f>AA6</f>
        <v>32509057.731834095</v>
      </c>
      <c r="AL85" s="25">
        <f>AN85+AO85</f>
        <v>35000000</v>
      </c>
      <c r="AM85" s="90">
        <f>AK85/AJ85</f>
        <v>0.92883022090954559</v>
      </c>
      <c r="AN85" s="80">
        <f>AG85*AJ85</f>
        <v>24500000</v>
      </c>
      <c r="AO85" s="80">
        <f>AF85*AJ85</f>
        <v>10500000</v>
      </c>
      <c r="AP85" s="80">
        <f>MAX(0,MIN(AF85*AJ85),AK85-(AG85*AJ85))</f>
        <v>10500000</v>
      </c>
      <c r="AQ85" s="80">
        <f>MIN(AK85,AN85)</f>
        <v>24500000</v>
      </c>
      <c r="AR85" s="91">
        <f>MAX(0,AK85-(AN85+AO85))</f>
        <v>0</v>
      </c>
      <c r="AS85" s="80">
        <f>AH85*AJ85</f>
        <v>5250000</v>
      </c>
      <c r="AT85" s="90">
        <f>(AK85-AP85)/(AJ85-AS85)</f>
        <v>0.739800259893583</v>
      </c>
    </row>
    <row r="86" spans="32:46" x14ac:dyDescent="0.25">
      <c r="AF86" s="68">
        <f t="shared" ref="AF86:AF99" si="91">$AG$36</f>
        <v>0.3</v>
      </c>
      <c r="AG86" s="68">
        <f t="shared" ref="AG86:AG99" si="92">$AI$36</f>
        <v>0.7</v>
      </c>
      <c r="AH86" s="31">
        <f>15%</f>
        <v>0.15</v>
      </c>
      <c r="AI86" s="25">
        <v>2</v>
      </c>
      <c r="AJ86" s="25">
        <f t="shared" ref="AJ86:AJ99" si="93">AB7</f>
        <v>35000000</v>
      </c>
      <c r="AK86" s="25">
        <f t="shared" ref="AK86:AK99" si="94">AA7</f>
        <v>33269120.499056205</v>
      </c>
      <c r="AL86" s="25">
        <f t="shared" ref="AL86:AL99" si="95">AN86+AO86</f>
        <v>35000000</v>
      </c>
      <c r="AM86" s="90">
        <f t="shared" ref="AM86:AM99" si="96">AK86/AJ86</f>
        <v>0.95054629997303441</v>
      </c>
      <c r="AN86" s="80">
        <f t="shared" ref="AN86:AN99" si="97">AG86*AJ86</f>
        <v>24500000</v>
      </c>
      <c r="AO86" s="80">
        <f t="shared" ref="AO86:AO99" si="98">AF86*AJ86</f>
        <v>10500000</v>
      </c>
      <c r="AP86" s="80">
        <f t="shared" ref="AP86:AP99" si="99">MAX(0,MIN(AF86*AJ86),AK86-(AG86*AJ86))</f>
        <v>10500000</v>
      </c>
      <c r="AQ86" s="80">
        <f t="shared" ref="AQ86:AQ99" si="100">MIN(AK86,AN86)</f>
        <v>24500000</v>
      </c>
      <c r="AR86" s="91">
        <f t="shared" ref="AR86:AR99" si="101">MAX(0,AK86-(AN86+AO86))</f>
        <v>0</v>
      </c>
      <c r="AS86" s="80">
        <f t="shared" ref="AS86:AS99" si="102">AH86*AJ86</f>
        <v>5250000</v>
      </c>
      <c r="AT86" s="90">
        <f t="shared" ref="AT86:AT99" si="103">(AK86-AP86)/(AJ86-AS86)</f>
        <v>0.76534858820356988</v>
      </c>
    </row>
    <row r="87" spans="32:46" x14ac:dyDescent="0.25">
      <c r="AF87" s="68">
        <f t="shared" si="91"/>
        <v>0.3</v>
      </c>
      <c r="AG87" s="68">
        <f t="shared" si="92"/>
        <v>0.7</v>
      </c>
      <c r="AH87" s="31">
        <f>15%</f>
        <v>0.15</v>
      </c>
      <c r="AI87" s="25">
        <v>3</v>
      </c>
      <c r="AJ87" s="25">
        <f t="shared" si="93"/>
        <v>35000000</v>
      </c>
      <c r="AK87" s="25">
        <f t="shared" si="94"/>
        <v>28152133.372634444</v>
      </c>
      <c r="AL87" s="25">
        <f t="shared" si="95"/>
        <v>35000000</v>
      </c>
      <c r="AM87" s="90">
        <f t="shared" si="96"/>
        <v>0.80434666778955555</v>
      </c>
      <c r="AN87" s="80">
        <f t="shared" si="97"/>
        <v>24500000</v>
      </c>
      <c r="AO87" s="80">
        <f t="shared" si="98"/>
        <v>10500000</v>
      </c>
      <c r="AP87" s="80">
        <f t="shared" si="99"/>
        <v>10500000</v>
      </c>
      <c r="AQ87" s="80">
        <f t="shared" si="100"/>
        <v>24500000</v>
      </c>
      <c r="AR87" s="91">
        <f t="shared" si="101"/>
        <v>0</v>
      </c>
      <c r="AS87" s="80">
        <f t="shared" si="102"/>
        <v>5250000</v>
      </c>
      <c r="AT87" s="90">
        <f t="shared" si="103"/>
        <v>0.59334902092888886</v>
      </c>
    </row>
    <row r="88" spans="32:46" x14ac:dyDescent="0.25">
      <c r="AF88" s="68">
        <f t="shared" si="91"/>
        <v>0.3</v>
      </c>
      <c r="AG88" s="68">
        <f t="shared" si="92"/>
        <v>0.7</v>
      </c>
      <c r="AH88" s="31">
        <f>15%</f>
        <v>0.15</v>
      </c>
      <c r="AI88" s="25">
        <v>4</v>
      </c>
      <c r="AJ88" s="25">
        <f t="shared" si="93"/>
        <v>35000000</v>
      </c>
      <c r="AK88" s="25">
        <f t="shared" si="94"/>
        <v>46091508.249433652</v>
      </c>
      <c r="AL88" s="25">
        <f t="shared" si="95"/>
        <v>35000000</v>
      </c>
      <c r="AM88" s="90">
        <f t="shared" si="96"/>
        <v>1.3169002356981043</v>
      </c>
      <c r="AN88" s="80">
        <f t="shared" si="97"/>
        <v>24500000</v>
      </c>
      <c r="AO88" s="80">
        <f t="shared" si="98"/>
        <v>10500000</v>
      </c>
      <c r="AP88" s="80">
        <f t="shared" si="99"/>
        <v>21591508.249433652</v>
      </c>
      <c r="AQ88" s="80">
        <f t="shared" si="100"/>
        <v>24500000</v>
      </c>
      <c r="AR88" s="81">
        <f t="shared" si="101"/>
        <v>11091508.249433652</v>
      </c>
      <c r="AS88" s="80">
        <f t="shared" si="102"/>
        <v>5250000</v>
      </c>
      <c r="AT88" s="90">
        <f t="shared" si="103"/>
        <v>0.82352941176470584</v>
      </c>
    </row>
    <row r="89" spans="32:46" x14ac:dyDescent="0.25">
      <c r="AF89" s="68">
        <f t="shared" si="91"/>
        <v>0.3</v>
      </c>
      <c r="AG89" s="68">
        <f t="shared" si="92"/>
        <v>0.7</v>
      </c>
      <c r="AH89" s="31">
        <f>15%</f>
        <v>0.15</v>
      </c>
      <c r="AI89" s="25">
        <v>5</v>
      </c>
      <c r="AJ89" s="25">
        <f t="shared" si="93"/>
        <v>35000000</v>
      </c>
      <c r="AK89" s="25">
        <f t="shared" si="94"/>
        <v>22727933.845487785</v>
      </c>
      <c r="AL89" s="25">
        <f t="shared" si="95"/>
        <v>35000000</v>
      </c>
      <c r="AM89" s="90">
        <f t="shared" si="96"/>
        <v>0.64936953844250811</v>
      </c>
      <c r="AN89" s="80">
        <f t="shared" si="97"/>
        <v>24500000</v>
      </c>
      <c r="AO89" s="80">
        <f t="shared" si="98"/>
        <v>10500000</v>
      </c>
      <c r="AP89" s="80">
        <f t="shared" si="99"/>
        <v>10500000</v>
      </c>
      <c r="AQ89" s="80">
        <f t="shared" si="100"/>
        <v>22727933.845487785</v>
      </c>
      <c r="AR89" s="81">
        <f t="shared" si="101"/>
        <v>0</v>
      </c>
      <c r="AS89" s="80">
        <f t="shared" si="102"/>
        <v>5250000</v>
      </c>
      <c r="AT89" s="90">
        <f t="shared" si="103"/>
        <v>0.41102298640295076</v>
      </c>
    </row>
    <row r="90" spans="32:46" x14ac:dyDescent="0.25">
      <c r="AF90" s="68">
        <f t="shared" si="91"/>
        <v>0.3</v>
      </c>
      <c r="AG90" s="68">
        <f t="shared" si="92"/>
        <v>0.7</v>
      </c>
      <c r="AH90" s="31">
        <f>15%</f>
        <v>0.15</v>
      </c>
      <c r="AI90" s="25">
        <v>6</v>
      </c>
      <c r="AJ90" s="25">
        <f t="shared" si="93"/>
        <v>35000000</v>
      </c>
      <c r="AK90" s="25">
        <f t="shared" si="94"/>
        <v>24101419.339039475</v>
      </c>
      <c r="AL90" s="25">
        <f t="shared" si="95"/>
        <v>35000000</v>
      </c>
      <c r="AM90" s="90">
        <f t="shared" si="96"/>
        <v>0.68861198111541355</v>
      </c>
      <c r="AN90" s="80">
        <f t="shared" si="97"/>
        <v>24500000</v>
      </c>
      <c r="AO90" s="80">
        <f t="shared" si="98"/>
        <v>10500000</v>
      </c>
      <c r="AP90" s="80">
        <f t="shared" si="99"/>
        <v>10500000</v>
      </c>
      <c r="AQ90" s="80">
        <f t="shared" si="100"/>
        <v>24101419.339039475</v>
      </c>
      <c r="AR90" s="81">
        <f t="shared" si="101"/>
        <v>0</v>
      </c>
      <c r="AS90" s="80">
        <f t="shared" si="102"/>
        <v>5250000</v>
      </c>
      <c r="AT90" s="90">
        <f t="shared" si="103"/>
        <v>0.45719056601813363</v>
      </c>
    </row>
    <row r="91" spans="32:46" x14ac:dyDescent="0.25">
      <c r="AF91" s="68">
        <f t="shared" si="91"/>
        <v>0.3</v>
      </c>
      <c r="AG91" s="68">
        <f t="shared" si="92"/>
        <v>0.7</v>
      </c>
      <c r="AH91" s="31">
        <f>15%</f>
        <v>0.15</v>
      </c>
      <c r="AI91" s="25">
        <v>7</v>
      </c>
      <c r="AJ91" s="25">
        <f t="shared" si="93"/>
        <v>35000000</v>
      </c>
      <c r="AK91" s="25">
        <f t="shared" si="94"/>
        <v>22731025.317177113</v>
      </c>
      <c r="AL91" s="25">
        <f t="shared" si="95"/>
        <v>35000000</v>
      </c>
      <c r="AM91" s="90">
        <f t="shared" si="96"/>
        <v>0.64945786620506041</v>
      </c>
      <c r="AN91" s="80">
        <f t="shared" si="97"/>
        <v>24500000</v>
      </c>
      <c r="AO91" s="80">
        <f t="shared" si="98"/>
        <v>10500000</v>
      </c>
      <c r="AP91" s="80">
        <f t="shared" si="99"/>
        <v>10500000</v>
      </c>
      <c r="AQ91" s="80">
        <f t="shared" si="100"/>
        <v>22731025.317177113</v>
      </c>
      <c r="AR91" s="81">
        <f t="shared" si="101"/>
        <v>0</v>
      </c>
      <c r="AS91" s="80">
        <f t="shared" si="102"/>
        <v>5250000</v>
      </c>
      <c r="AT91" s="90">
        <f t="shared" si="103"/>
        <v>0.41112690141771807</v>
      </c>
    </row>
    <row r="92" spans="32:46" x14ac:dyDescent="0.25">
      <c r="AF92" s="68">
        <f t="shared" si="91"/>
        <v>0.3</v>
      </c>
      <c r="AG92" s="68">
        <f t="shared" si="92"/>
        <v>0.7</v>
      </c>
      <c r="AH92" s="31">
        <f>15%</f>
        <v>0.15</v>
      </c>
      <c r="AI92" s="25">
        <v>8</v>
      </c>
      <c r="AJ92" s="25">
        <f t="shared" si="93"/>
        <v>35000000</v>
      </c>
      <c r="AK92" s="25">
        <f t="shared" si="94"/>
        <v>20958956.338305462</v>
      </c>
      <c r="AL92" s="25">
        <f t="shared" si="95"/>
        <v>35000000</v>
      </c>
      <c r="AM92" s="90">
        <f t="shared" si="96"/>
        <v>0.59882732395158467</v>
      </c>
      <c r="AN92" s="80">
        <f t="shared" si="97"/>
        <v>24500000</v>
      </c>
      <c r="AO92" s="80">
        <f t="shared" si="98"/>
        <v>10500000</v>
      </c>
      <c r="AP92" s="80">
        <f t="shared" si="99"/>
        <v>10500000</v>
      </c>
      <c r="AQ92" s="80">
        <f t="shared" si="100"/>
        <v>20958956.338305462</v>
      </c>
      <c r="AR92" s="81">
        <f t="shared" si="101"/>
        <v>0</v>
      </c>
      <c r="AS92" s="80">
        <f t="shared" si="102"/>
        <v>5250000</v>
      </c>
      <c r="AT92" s="90">
        <f t="shared" si="103"/>
        <v>0.35156155759009955</v>
      </c>
    </row>
    <row r="93" spans="32:46" x14ac:dyDescent="0.25">
      <c r="AF93" s="68">
        <f t="shared" si="91"/>
        <v>0.3</v>
      </c>
      <c r="AG93" s="68">
        <f t="shared" si="92"/>
        <v>0.7</v>
      </c>
      <c r="AH93" s="31">
        <f>15%</f>
        <v>0.15</v>
      </c>
      <c r="AI93" s="25">
        <v>9</v>
      </c>
      <c r="AJ93" s="25">
        <f t="shared" si="93"/>
        <v>35000000</v>
      </c>
      <c r="AK93" s="25">
        <f t="shared" si="94"/>
        <v>21739715.574547119</v>
      </c>
      <c r="AL93" s="25">
        <f t="shared" si="95"/>
        <v>35000000</v>
      </c>
      <c r="AM93" s="90">
        <f t="shared" si="96"/>
        <v>0.62113473070134628</v>
      </c>
      <c r="AN93" s="80">
        <f t="shared" si="97"/>
        <v>24500000</v>
      </c>
      <c r="AO93" s="80">
        <f t="shared" si="98"/>
        <v>10500000</v>
      </c>
      <c r="AP93" s="80">
        <f t="shared" si="99"/>
        <v>10500000</v>
      </c>
      <c r="AQ93" s="80">
        <f t="shared" si="100"/>
        <v>21739715.574547119</v>
      </c>
      <c r="AR93" s="81">
        <f t="shared" si="101"/>
        <v>0</v>
      </c>
      <c r="AS93" s="80">
        <f t="shared" si="102"/>
        <v>5250000</v>
      </c>
      <c r="AT93" s="90">
        <f t="shared" si="103"/>
        <v>0.37780556553099559</v>
      </c>
    </row>
    <row r="94" spans="32:46" x14ac:dyDescent="0.25">
      <c r="AF94" s="68">
        <f t="shared" si="91"/>
        <v>0.3</v>
      </c>
      <c r="AG94" s="68">
        <f t="shared" si="92"/>
        <v>0.7</v>
      </c>
      <c r="AH94" s="31">
        <f>15%</f>
        <v>0.15</v>
      </c>
      <c r="AI94" s="25">
        <v>10</v>
      </c>
      <c r="AJ94" s="25">
        <f t="shared" si="93"/>
        <v>35000000</v>
      </c>
      <c r="AK94" s="25">
        <f t="shared" si="94"/>
        <v>30081021.256401218</v>
      </c>
      <c r="AL94" s="25">
        <f t="shared" si="95"/>
        <v>35000000</v>
      </c>
      <c r="AM94" s="90">
        <f t="shared" si="96"/>
        <v>0.85945775018289194</v>
      </c>
      <c r="AN94" s="80">
        <f t="shared" si="97"/>
        <v>24500000</v>
      </c>
      <c r="AO94" s="80">
        <f t="shared" si="98"/>
        <v>10500000</v>
      </c>
      <c r="AP94" s="80">
        <f t="shared" si="99"/>
        <v>10500000</v>
      </c>
      <c r="AQ94" s="80">
        <f t="shared" si="100"/>
        <v>24500000</v>
      </c>
      <c r="AR94" s="81">
        <f t="shared" si="101"/>
        <v>0</v>
      </c>
      <c r="AS94" s="80">
        <f t="shared" si="102"/>
        <v>5250000</v>
      </c>
      <c r="AT94" s="90">
        <f t="shared" si="103"/>
        <v>0.65818558845046116</v>
      </c>
    </row>
    <row r="95" spans="32:46" x14ac:dyDescent="0.25">
      <c r="AF95" s="68">
        <f t="shared" si="91"/>
        <v>0.3</v>
      </c>
      <c r="AG95" s="68">
        <f t="shared" si="92"/>
        <v>0.7</v>
      </c>
      <c r="AH95" s="31">
        <f>15%</f>
        <v>0.15</v>
      </c>
      <c r="AI95" s="25">
        <v>11</v>
      </c>
      <c r="AJ95" s="25">
        <f t="shared" si="93"/>
        <v>35000000</v>
      </c>
      <c r="AK95" s="25">
        <f t="shared" si="94"/>
        <v>34730498.814953461</v>
      </c>
      <c r="AL95" s="25">
        <f t="shared" si="95"/>
        <v>35000000</v>
      </c>
      <c r="AM95" s="90">
        <f t="shared" si="96"/>
        <v>0.99229996614152749</v>
      </c>
      <c r="AN95" s="80">
        <f t="shared" si="97"/>
        <v>24500000</v>
      </c>
      <c r="AO95" s="80">
        <f t="shared" si="98"/>
        <v>10500000</v>
      </c>
      <c r="AP95" s="80">
        <f t="shared" si="99"/>
        <v>10500000</v>
      </c>
      <c r="AQ95" s="80">
        <f t="shared" si="100"/>
        <v>24500000</v>
      </c>
      <c r="AR95" s="81">
        <f t="shared" si="101"/>
        <v>0</v>
      </c>
      <c r="AS95" s="80">
        <f t="shared" si="102"/>
        <v>5250000</v>
      </c>
      <c r="AT95" s="90">
        <f t="shared" si="103"/>
        <v>0.814470548401797</v>
      </c>
    </row>
    <row r="96" spans="32:46" x14ac:dyDescent="0.25">
      <c r="AF96" s="68">
        <f t="shared" si="91"/>
        <v>0.3</v>
      </c>
      <c r="AG96" s="68">
        <f t="shared" si="92"/>
        <v>0.7</v>
      </c>
      <c r="AH96" s="31">
        <f>15%</f>
        <v>0.15</v>
      </c>
      <c r="AI96" s="25">
        <v>12</v>
      </c>
      <c r="AJ96" s="25">
        <f t="shared" si="93"/>
        <v>35000000</v>
      </c>
      <c r="AK96" s="25">
        <f t="shared" si="94"/>
        <v>34818742.75187543</v>
      </c>
      <c r="AL96" s="25">
        <f t="shared" si="95"/>
        <v>35000000</v>
      </c>
      <c r="AM96" s="90">
        <f t="shared" si="96"/>
        <v>0.99482122148215513</v>
      </c>
      <c r="AN96" s="80">
        <f t="shared" si="97"/>
        <v>24500000</v>
      </c>
      <c r="AO96" s="80">
        <f t="shared" si="98"/>
        <v>10500000</v>
      </c>
      <c r="AP96" s="80">
        <f t="shared" si="99"/>
        <v>10500000</v>
      </c>
      <c r="AQ96" s="80">
        <f t="shared" si="100"/>
        <v>24500000</v>
      </c>
      <c r="AR96" s="81">
        <f t="shared" si="101"/>
        <v>0</v>
      </c>
      <c r="AS96" s="80">
        <f t="shared" si="102"/>
        <v>5250000</v>
      </c>
      <c r="AT96" s="90">
        <f t="shared" si="103"/>
        <v>0.81743673115547666</v>
      </c>
    </row>
    <row r="97" spans="32:46" x14ac:dyDescent="0.25">
      <c r="AF97" s="68">
        <f t="shared" si="91"/>
        <v>0.3</v>
      </c>
      <c r="AG97" s="68">
        <f t="shared" si="92"/>
        <v>0.7</v>
      </c>
      <c r="AH97" s="31">
        <f>15%</f>
        <v>0.15</v>
      </c>
      <c r="AI97" s="25">
        <v>13</v>
      </c>
      <c r="AJ97" s="25">
        <f t="shared" si="93"/>
        <v>35000000</v>
      </c>
      <c r="AK97" s="25">
        <f t="shared" si="94"/>
        <v>38292471.754542857</v>
      </c>
      <c r="AL97" s="25">
        <f t="shared" si="95"/>
        <v>35000000</v>
      </c>
      <c r="AM97" s="90">
        <f t="shared" si="96"/>
        <v>1.0940706215583673</v>
      </c>
      <c r="AN97" s="80">
        <f t="shared" si="97"/>
        <v>24500000</v>
      </c>
      <c r="AO97" s="80">
        <f t="shared" si="98"/>
        <v>10500000</v>
      </c>
      <c r="AP97" s="80">
        <f t="shared" si="99"/>
        <v>13792471.754542857</v>
      </c>
      <c r="AQ97" s="80">
        <f t="shared" si="100"/>
        <v>24500000</v>
      </c>
      <c r="AR97" s="81">
        <f t="shared" si="101"/>
        <v>3292471.7545428574</v>
      </c>
      <c r="AS97" s="80">
        <f t="shared" si="102"/>
        <v>5250000</v>
      </c>
      <c r="AT97" s="90">
        <f t="shared" si="103"/>
        <v>0.82352941176470584</v>
      </c>
    </row>
    <row r="98" spans="32:46" x14ac:dyDescent="0.25">
      <c r="AF98" s="68">
        <f t="shared" si="91"/>
        <v>0.3</v>
      </c>
      <c r="AG98" s="68">
        <f t="shared" si="92"/>
        <v>0.7</v>
      </c>
      <c r="AH98" s="31">
        <f>15%</f>
        <v>0.15</v>
      </c>
      <c r="AI98" s="25">
        <v>14</v>
      </c>
      <c r="AJ98" s="25">
        <f t="shared" si="93"/>
        <v>35000000</v>
      </c>
      <c r="AK98" s="25">
        <f t="shared" si="94"/>
        <v>38568518.565878429</v>
      </c>
      <c r="AL98" s="25">
        <f t="shared" si="95"/>
        <v>35000000</v>
      </c>
      <c r="AM98" s="90">
        <f t="shared" si="96"/>
        <v>1.1019576733108123</v>
      </c>
      <c r="AN98" s="80">
        <f t="shared" si="97"/>
        <v>24500000</v>
      </c>
      <c r="AO98" s="80">
        <f t="shared" si="98"/>
        <v>10500000</v>
      </c>
      <c r="AP98" s="80">
        <f t="shared" si="99"/>
        <v>14068518.565878429</v>
      </c>
      <c r="AQ98" s="80">
        <f t="shared" si="100"/>
        <v>24500000</v>
      </c>
      <c r="AR98" s="81">
        <f t="shared" si="101"/>
        <v>3568518.5658784285</v>
      </c>
      <c r="AS98" s="80">
        <f t="shared" si="102"/>
        <v>5250000</v>
      </c>
      <c r="AT98" s="90">
        <f t="shared" si="103"/>
        <v>0.82352941176470584</v>
      </c>
    </row>
    <row r="99" spans="32:46" x14ac:dyDescent="0.25">
      <c r="AF99" s="68">
        <f t="shared" si="91"/>
        <v>0.3</v>
      </c>
      <c r="AG99" s="68">
        <f t="shared" si="92"/>
        <v>0.7</v>
      </c>
      <c r="AH99" s="31">
        <f>15%</f>
        <v>0.15</v>
      </c>
      <c r="AI99" s="25">
        <v>15</v>
      </c>
      <c r="AJ99" s="25">
        <f t="shared" si="93"/>
        <v>35000000</v>
      </c>
      <c r="AK99" s="25">
        <f t="shared" si="94"/>
        <v>33147741.044753108</v>
      </c>
      <c r="AL99" s="25">
        <f t="shared" si="95"/>
        <v>35000000</v>
      </c>
      <c r="AM99" s="90">
        <f t="shared" si="96"/>
        <v>0.9470783155643745</v>
      </c>
      <c r="AN99" s="80">
        <f t="shared" si="97"/>
        <v>24500000</v>
      </c>
      <c r="AO99" s="80">
        <f t="shared" si="98"/>
        <v>10500000</v>
      </c>
      <c r="AP99" s="80">
        <f t="shared" si="99"/>
        <v>10500000</v>
      </c>
      <c r="AQ99" s="80">
        <f t="shared" si="100"/>
        <v>24500000</v>
      </c>
      <c r="AR99" s="91">
        <f t="shared" si="101"/>
        <v>0</v>
      </c>
      <c r="AS99" s="80">
        <f t="shared" si="102"/>
        <v>5250000</v>
      </c>
      <c r="AT99" s="90">
        <f t="shared" si="103"/>
        <v>0.761268606546323</v>
      </c>
    </row>
    <row r="101" spans="32:46" x14ac:dyDescent="0.25">
      <c r="AN101" s="157" t="s">
        <v>180</v>
      </c>
      <c r="AO101" s="157"/>
    </row>
    <row r="103" spans="32:46" x14ac:dyDescent="0.25">
      <c r="AL103" s="157" t="s">
        <v>179</v>
      </c>
      <c r="AM103" s="157"/>
      <c r="AN103" s="157"/>
      <c r="AO103" s="157"/>
      <c r="AP103" s="157"/>
      <c r="AQ103" s="157"/>
    </row>
    <row r="115" spans="22:43" s="70" customFormat="1" x14ac:dyDescent="0.25">
      <c r="Y115" s="95"/>
    </row>
    <row r="117" spans="22:43" x14ac:dyDescent="0.25">
      <c r="Z117" s="158" t="s">
        <v>181</v>
      </c>
      <c r="AA117" s="159"/>
      <c r="AB117" s="159"/>
    </row>
    <row r="120" spans="22:43" x14ac:dyDescent="0.25">
      <c r="AA120" t="s">
        <v>63</v>
      </c>
    </row>
    <row r="121" spans="22:43" x14ac:dyDescent="0.25">
      <c r="AA121" s="93" t="s">
        <v>68</v>
      </c>
      <c r="AB121" s="66">
        <v>1</v>
      </c>
      <c r="AC121" s="66">
        <v>2</v>
      </c>
      <c r="AD121" s="66">
        <v>3</v>
      </c>
      <c r="AE121" s="66">
        <v>4</v>
      </c>
      <c r="AF121" s="66">
        <v>5</v>
      </c>
      <c r="AG121" s="66">
        <v>6</v>
      </c>
      <c r="AH121" s="66">
        <v>7</v>
      </c>
      <c r="AI121" s="66">
        <v>8</v>
      </c>
      <c r="AJ121" s="66">
        <v>9</v>
      </c>
      <c r="AK121" s="66">
        <v>10</v>
      </c>
      <c r="AL121" s="66">
        <v>11</v>
      </c>
      <c r="AM121" s="66">
        <v>12</v>
      </c>
      <c r="AN121" s="66">
        <v>13</v>
      </c>
      <c r="AO121" s="66">
        <v>14</v>
      </c>
      <c r="AP121" s="66">
        <v>15</v>
      </c>
      <c r="AQ121" s="66" t="s">
        <v>47</v>
      </c>
    </row>
    <row r="122" spans="22:43" s="120" customFormat="1" x14ac:dyDescent="0.25">
      <c r="V122" s="22"/>
      <c r="Y122" s="54"/>
      <c r="AA122" s="93" t="s">
        <v>147</v>
      </c>
      <c r="AB122" s="44">
        <f>AG23/$AW$23</f>
        <v>12581884.737610027</v>
      </c>
      <c r="AC122" s="44">
        <f t="shared" ref="AC122:AP122" si="104">AH23/$AW$23</f>
        <v>1281934.7154315319</v>
      </c>
      <c r="AD122" s="44">
        <f t="shared" si="104"/>
        <v>547952.02680215263</v>
      </c>
      <c r="AE122" s="44">
        <f t="shared" si="104"/>
        <v>312985.17790878826</v>
      </c>
      <c r="AF122" s="44">
        <f t="shared" si="104"/>
        <v>136088.21162198987</v>
      </c>
      <c r="AG122" s="44">
        <f t="shared" si="104"/>
        <v>92210.545719663336</v>
      </c>
      <c r="AH122" s="44">
        <f t="shared" si="104"/>
        <v>41054.694710622251</v>
      </c>
      <c r="AI122" s="44">
        <f t="shared" si="104"/>
        <v>12521.20923886697</v>
      </c>
      <c r="AJ122" s="44">
        <f t="shared" si="104"/>
        <v>11298.932251383865</v>
      </c>
      <c r="AK122" s="44">
        <f t="shared" si="104"/>
        <v>9334.4583237667921</v>
      </c>
      <c r="AL122" s="44">
        <f t="shared" si="104"/>
        <v>2811.5225881586484</v>
      </c>
      <c r="AM122" s="44">
        <f t="shared" si="104"/>
        <v>1048.616261556745</v>
      </c>
      <c r="AN122" s="44">
        <f t="shared" si="104"/>
        <v>331.47409573197376</v>
      </c>
      <c r="AO122" s="44">
        <f t="shared" si="104"/>
        <v>0</v>
      </c>
      <c r="AP122" s="44">
        <f t="shared" si="104"/>
        <v>0</v>
      </c>
      <c r="AQ122" s="44">
        <f>SUM(AB122:AP122)</f>
        <v>15031456.322564239</v>
      </c>
    </row>
    <row r="123" spans="22:43" s="120" customFormat="1" x14ac:dyDescent="0.25">
      <c r="V123" s="22"/>
      <c r="Y123" s="54"/>
      <c r="AA123" s="94" t="s">
        <v>69</v>
      </c>
      <c r="AB123" s="44">
        <f>AG23</f>
        <v>7549130.8425660133</v>
      </c>
      <c r="AC123" s="44">
        <f t="shared" ref="AB123:AP123" si="105">AH23</f>
        <v>769160.82925891876</v>
      </c>
      <c r="AD123" s="44">
        <f t="shared" si="105"/>
        <v>328771.21608129144</v>
      </c>
      <c r="AE123" s="44">
        <f t="shared" si="105"/>
        <v>187791.10674527287</v>
      </c>
      <c r="AF123" s="44">
        <f t="shared" si="105"/>
        <v>81652.926973193884</v>
      </c>
      <c r="AG123" s="44">
        <f t="shared" si="105"/>
        <v>55326.327431797981</v>
      </c>
      <c r="AH123" s="44">
        <f t="shared" si="105"/>
        <v>24632.816826373339</v>
      </c>
      <c r="AI123" s="44">
        <f t="shared" si="105"/>
        <v>7512.725543320179</v>
      </c>
      <c r="AJ123" s="44">
        <f t="shared" si="105"/>
        <v>6779.3593508303165</v>
      </c>
      <c r="AK123" s="44">
        <f t="shared" si="105"/>
        <v>5600.6749942600727</v>
      </c>
      <c r="AL123" s="44">
        <f t="shared" si="105"/>
        <v>1686.9135528951883</v>
      </c>
      <c r="AM123" s="44">
        <f t="shared" si="105"/>
        <v>629.16975693404675</v>
      </c>
      <c r="AN123" s="44">
        <f t="shared" si="105"/>
        <v>198.88445743918419</v>
      </c>
      <c r="AO123" s="44">
        <f t="shared" si="105"/>
        <v>0</v>
      </c>
      <c r="AP123" s="44">
        <f t="shared" si="105"/>
        <v>0</v>
      </c>
      <c r="AQ123" s="44">
        <f>SUM(AB123:AP123)</f>
        <v>9018873.7935385406</v>
      </c>
    </row>
    <row r="124" spans="22:43" x14ac:dyDescent="0.25">
      <c r="AA124" s="94" t="s">
        <v>148</v>
      </c>
      <c r="AB124" s="44">
        <f>AB122-AB123</f>
        <v>5032753.8950440139</v>
      </c>
      <c r="AC124" s="44">
        <f t="shared" ref="AC124:AP124" si="106">AC122-AC123</f>
        <v>512773.88617261313</v>
      </c>
      <c r="AD124" s="44">
        <f t="shared" si="106"/>
        <v>219180.81072086119</v>
      </c>
      <c r="AE124" s="44">
        <f t="shared" si="106"/>
        <v>125194.07116351539</v>
      </c>
      <c r="AF124" s="44">
        <f t="shared" si="106"/>
        <v>54435.284648795991</v>
      </c>
      <c r="AG124" s="44">
        <f t="shared" si="106"/>
        <v>36884.218287865355</v>
      </c>
      <c r="AH124" s="44">
        <f t="shared" si="106"/>
        <v>16421.877884248912</v>
      </c>
      <c r="AI124" s="44">
        <f t="shared" si="106"/>
        <v>5008.4836955467908</v>
      </c>
      <c r="AJ124" s="44">
        <f t="shared" si="106"/>
        <v>4519.5729005535486</v>
      </c>
      <c r="AK124" s="44">
        <f t="shared" si="106"/>
        <v>3733.7833295067194</v>
      </c>
      <c r="AL124" s="44">
        <f t="shared" si="106"/>
        <v>1124.6090352634601</v>
      </c>
      <c r="AM124" s="44">
        <f t="shared" si="106"/>
        <v>419.44650462269828</v>
      </c>
      <c r="AN124" s="44">
        <f t="shared" si="106"/>
        <v>132.58963829278957</v>
      </c>
      <c r="AO124" s="44">
        <f t="shared" si="106"/>
        <v>0</v>
      </c>
      <c r="AP124" s="44">
        <f t="shared" si="106"/>
        <v>0</v>
      </c>
      <c r="AQ124" s="44">
        <f>AQ122-AQ123</f>
        <v>6012582.5290256981</v>
      </c>
    </row>
    <row r="125" spans="22:43" ht="18" x14ac:dyDescent="0.25">
      <c r="AA125" s="93" t="s">
        <v>141</v>
      </c>
      <c r="AB125" s="109">
        <f>'Courbe des taux'!B2</f>
        <v>-6.1500000000000001E-3</v>
      </c>
      <c r="AC125" s="109">
        <v>-6.1500000000000001E-3</v>
      </c>
      <c r="AD125" s="109">
        <v>-6.0499999999999998E-3</v>
      </c>
      <c r="AE125" s="109">
        <v>-5.8500000000000002E-3</v>
      </c>
      <c r="AF125" s="109">
        <v>-5.5500000000000002E-3</v>
      </c>
      <c r="AG125" s="109">
        <v>-5.2599999999999999E-3</v>
      </c>
      <c r="AH125" s="109">
        <v>-4.8599999999999997E-3</v>
      </c>
      <c r="AI125" s="109">
        <v>-4.47E-3</v>
      </c>
      <c r="AJ125" s="109">
        <v>-3.9699999999999996E-3</v>
      </c>
      <c r="AK125" s="109">
        <v>-3.5699999999999998E-3</v>
      </c>
      <c r="AL125" s="109">
        <v>-3.1199999999999999E-3</v>
      </c>
      <c r="AM125" s="109">
        <v>-2.6800000000000001E-3</v>
      </c>
      <c r="AN125" s="109">
        <v>-2.32E-3</v>
      </c>
      <c r="AO125" s="109">
        <v>-1.97E-3</v>
      </c>
      <c r="AP125" s="109">
        <v>-1.67E-3</v>
      </c>
      <c r="AQ125" s="44"/>
    </row>
    <row r="126" spans="22:43" ht="18" x14ac:dyDescent="0.25">
      <c r="AA126" s="93" t="s">
        <v>142</v>
      </c>
      <c r="AB126" s="44">
        <f>AB124/(1+AB125)^AB121</f>
        <v>5063896.8607375501</v>
      </c>
      <c r="AC126" s="44">
        <f t="shared" ref="AC126:AP126" si="107">AC124/(1+AC125)^AC121</f>
        <v>519139.66894045222</v>
      </c>
      <c r="AD126" s="44">
        <f t="shared" si="107"/>
        <v>223207.56763671196</v>
      </c>
      <c r="AE126" s="44">
        <f t="shared" si="107"/>
        <v>128166.96343120022</v>
      </c>
      <c r="AF126" s="44">
        <f t="shared" si="107"/>
        <v>55971.344299736083</v>
      </c>
      <c r="AG126" s="44">
        <f t="shared" si="107"/>
        <v>38070.018863982899</v>
      </c>
      <c r="AH126" s="44">
        <f t="shared" si="107"/>
        <v>16991.571051187693</v>
      </c>
      <c r="AI126" s="44">
        <f t="shared" si="107"/>
        <v>5191.2440836327596</v>
      </c>
      <c r="AJ126" s="44">
        <f t="shared" si="107"/>
        <v>4684.3099268280021</v>
      </c>
      <c r="AK126" s="44">
        <f t="shared" si="107"/>
        <v>3869.7344752064178</v>
      </c>
      <c r="AL126" s="44">
        <f t="shared" si="107"/>
        <v>1163.9380216289269</v>
      </c>
      <c r="AM126" s="44">
        <f t="shared" si="107"/>
        <v>433.17385822654143</v>
      </c>
      <c r="AN126" s="44">
        <f t="shared" si="107"/>
        <v>136.65424435225529</v>
      </c>
      <c r="AO126" s="44">
        <f t="shared" si="107"/>
        <v>0</v>
      </c>
      <c r="AP126" s="44">
        <f t="shared" si="107"/>
        <v>0</v>
      </c>
      <c r="AQ126" s="44">
        <f>SUM(AB126:AP126)</f>
        <v>6060923.0495706955</v>
      </c>
    </row>
    <row r="127" spans="22:43" x14ac:dyDescent="0.25">
      <c r="AA127" s="93" t="s">
        <v>45</v>
      </c>
      <c r="AB127" s="109">
        <f>AB126/$AQ$126</f>
        <v>0.83549928275301788</v>
      </c>
      <c r="AC127" s="109">
        <f t="shared" ref="AC127:AQ127" si="108">AC126/$AQ$126</f>
        <v>8.565356542139628E-2</v>
      </c>
      <c r="AD127" s="109">
        <f t="shared" si="108"/>
        <v>3.6827322474011957E-2</v>
      </c>
      <c r="AE127" s="109">
        <f t="shared" si="108"/>
        <v>2.1146442939954251E-2</v>
      </c>
      <c r="AF127" s="109">
        <f t="shared" si="108"/>
        <v>9.2347888006432642E-3</v>
      </c>
      <c r="AG127" s="109">
        <f t="shared" si="108"/>
        <v>6.2812245845423591E-3</v>
      </c>
      <c r="AH127" s="109">
        <f t="shared" si="108"/>
        <v>2.8034625934396629E-3</v>
      </c>
      <c r="AI127" s="109">
        <f t="shared" si="108"/>
        <v>8.5651047557854464E-4</v>
      </c>
      <c r="AJ127" s="109">
        <f t="shared" si="108"/>
        <v>7.7287071433117748E-4</v>
      </c>
      <c r="AK127" s="109">
        <f t="shared" si="108"/>
        <v>6.3847279425210935E-4</v>
      </c>
      <c r="AL127" s="109">
        <f t="shared" si="108"/>
        <v>1.9203972928040565E-4</v>
      </c>
      <c r="AM127" s="109">
        <f t="shared" si="108"/>
        <v>7.1469948501857951E-5</v>
      </c>
      <c r="AN127" s="109">
        <f t="shared" si="108"/>
        <v>2.2546771050316291E-5</v>
      </c>
      <c r="AO127" s="109">
        <f t="shared" si="108"/>
        <v>0</v>
      </c>
      <c r="AP127" s="109">
        <f t="shared" si="108"/>
        <v>0</v>
      </c>
      <c r="AQ127" s="109">
        <f t="shared" si="108"/>
        <v>1</v>
      </c>
    </row>
    <row r="131" spans="22:65" x14ac:dyDescent="0.25">
      <c r="AA131" t="s">
        <v>73</v>
      </c>
    </row>
    <row r="132" spans="22:65" x14ac:dyDescent="0.25">
      <c r="AA132" s="93" t="s">
        <v>104</v>
      </c>
      <c r="AB132" s="66">
        <v>1</v>
      </c>
      <c r="AC132" s="66">
        <v>2</v>
      </c>
      <c r="AD132" s="66">
        <v>3</v>
      </c>
      <c r="AE132" s="66">
        <v>4</v>
      </c>
      <c r="AF132" s="66">
        <v>5</v>
      </c>
      <c r="AG132" s="66">
        <v>6</v>
      </c>
      <c r="AH132" s="66">
        <v>7</v>
      </c>
      <c r="AI132" s="66">
        <v>8</v>
      </c>
      <c r="AJ132" s="66">
        <v>9</v>
      </c>
      <c r="AK132" s="66">
        <v>10</v>
      </c>
      <c r="AL132" s="66">
        <v>11</v>
      </c>
      <c r="AM132" s="66">
        <v>12</v>
      </c>
      <c r="AN132" s="66">
        <v>13</v>
      </c>
      <c r="AO132" s="66">
        <v>14</v>
      </c>
      <c r="AP132" s="66">
        <v>15</v>
      </c>
      <c r="AQ132" s="66" t="s">
        <v>47</v>
      </c>
    </row>
    <row r="133" spans="22:65" s="120" customFormat="1" x14ac:dyDescent="0.25">
      <c r="V133" s="22"/>
      <c r="Y133" s="54"/>
      <c r="AA133" s="93" t="s">
        <v>147</v>
      </c>
      <c r="AB133" s="44">
        <f>AG79/$AW$79</f>
        <v>12603921.688656706</v>
      </c>
      <c r="AC133" s="44">
        <f t="shared" ref="AC133:AP133" si="109">AH79/$AW$79</f>
        <v>1350211.0554129127</v>
      </c>
      <c r="AD133" s="44">
        <f t="shared" si="109"/>
        <v>480134.53784800001</v>
      </c>
      <c r="AE133" s="44">
        <f t="shared" si="109"/>
        <v>342117.91481642157</v>
      </c>
      <c r="AF133" s="44">
        <f t="shared" si="109"/>
        <v>75462.922709730206</v>
      </c>
      <c r="AG133" s="44">
        <f t="shared" si="109"/>
        <v>91903.085674718575</v>
      </c>
      <c r="AH133" s="44">
        <f t="shared" si="109"/>
        <v>62439.898798578542</v>
      </c>
      <c r="AI133" s="44">
        <f t="shared" si="109"/>
        <v>6661.5169475359871</v>
      </c>
      <c r="AJ133" s="44">
        <f t="shared" si="109"/>
        <v>3380.3567483991937</v>
      </c>
      <c r="AK133" s="44">
        <f t="shared" si="109"/>
        <v>10879.061140804624</v>
      </c>
      <c r="AL133" s="44">
        <f t="shared" si="109"/>
        <v>2715.1196848732561</v>
      </c>
      <c r="AM133" s="44">
        <f t="shared" si="109"/>
        <v>1086.1021763467709</v>
      </c>
      <c r="AN133" s="44">
        <f t="shared" si="109"/>
        <v>543.06194921401027</v>
      </c>
      <c r="AO133" s="44">
        <f t="shared" si="109"/>
        <v>0</v>
      </c>
      <c r="AP133" s="44">
        <f t="shared" si="109"/>
        <v>0</v>
      </c>
      <c r="AQ133" s="44">
        <f>SUM(AB133:AP133)</f>
        <v>15031456.322564241</v>
      </c>
    </row>
    <row r="134" spans="22:65" s="120" customFormat="1" x14ac:dyDescent="0.25">
      <c r="V134" s="22"/>
      <c r="Y134" s="54"/>
      <c r="AA134" s="94" t="s">
        <v>105</v>
      </c>
      <c r="AB134" s="44">
        <f>AG79</f>
        <v>7693180.4010261446</v>
      </c>
      <c r="AC134" s="44">
        <f t="shared" ref="AC134:AP134" si="110">AH79</f>
        <v>824141.68267166615</v>
      </c>
      <c r="AD134" s="44">
        <f t="shared" si="110"/>
        <v>293064.46895431727</v>
      </c>
      <c r="AE134" s="44">
        <f t="shared" si="110"/>
        <v>208821.89703498036</v>
      </c>
      <c r="AF134" s="44">
        <f t="shared" si="110"/>
        <v>46061.050864599645</v>
      </c>
      <c r="AG134" s="44">
        <f t="shared" si="110"/>
        <v>56095.795814320445</v>
      </c>
      <c r="AH134" s="44">
        <f t="shared" si="110"/>
        <v>38112.05889287591</v>
      </c>
      <c r="AI134" s="44">
        <f t="shared" si="110"/>
        <v>4066.0560171529651</v>
      </c>
      <c r="AJ134" s="44">
        <f t="shared" si="110"/>
        <v>2063.3017982542515</v>
      </c>
      <c r="AK134" s="44">
        <f t="shared" si="110"/>
        <v>6640.3602003753185</v>
      </c>
      <c r="AL134" s="44">
        <f t="shared" si="110"/>
        <v>1657.2544690519571</v>
      </c>
      <c r="AM134" s="44">
        <f t="shared" si="110"/>
        <v>662.93493271246552</v>
      </c>
      <c r="AN134" s="44">
        <f t="shared" si="110"/>
        <v>331.47409571707249</v>
      </c>
      <c r="AO134" s="44">
        <f t="shared" si="110"/>
        <v>0</v>
      </c>
      <c r="AP134" s="44">
        <f t="shared" si="110"/>
        <v>0</v>
      </c>
      <c r="AQ134" s="44">
        <f t="shared" ref="AQ134" si="111">SUM(AB134:AP134)</f>
        <v>9174898.7367721684</v>
      </c>
    </row>
    <row r="135" spans="22:65" x14ac:dyDescent="0.25">
      <c r="AA135" s="94" t="s">
        <v>148</v>
      </c>
      <c r="AB135" s="44">
        <f>AB133-AB134</f>
        <v>4910741.2876305617</v>
      </c>
      <c r="AC135" s="44">
        <f t="shared" ref="AC135" si="112">AC133-AC134</f>
        <v>526069.3727412466</v>
      </c>
      <c r="AD135" s="44">
        <f t="shared" ref="AD135" si="113">AD133-AD134</f>
        <v>187070.06889368274</v>
      </c>
      <c r="AE135" s="44">
        <f t="shared" ref="AE135" si="114">AE133-AE134</f>
        <v>133296.01778144122</v>
      </c>
      <c r="AF135" s="44">
        <f t="shared" ref="AF135" si="115">AF133-AF134</f>
        <v>29401.871845130561</v>
      </c>
      <c r="AG135" s="44">
        <f t="shared" ref="AG135" si="116">AG133-AG134</f>
        <v>35807.28986039813</v>
      </c>
      <c r="AH135" s="44">
        <f t="shared" ref="AH135" si="117">AH133-AH134</f>
        <v>24327.839905702633</v>
      </c>
      <c r="AI135" s="44">
        <f t="shared" ref="AI135" si="118">AI133-AI134</f>
        <v>2595.4609303830221</v>
      </c>
      <c r="AJ135" s="44">
        <f t="shared" ref="AJ135" si="119">AJ133-AJ134</f>
        <v>1317.0549501449423</v>
      </c>
      <c r="AK135" s="44">
        <f t="shared" ref="AK135" si="120">AK133-AK134</f>
        <v>4238.7009404293058</v>
      </c>
      <c r="AL135" s="44">
        <f t="shared" ref="AL135" si="121">AL133-AL134</f>
        <v>1057.865215821299</v>
      </c>
      <c r="AM135" s="44">
        <f t="shared" ref="AM135" si="122">AM133-AM134</f>
        <v>423.16724363430535</v>
      </c>
      <c r="AN135" s="44">
        <f t="shared" ref="AN135" si="123">AN133-AN134</f>
        <v>211.58785349693778</v>
      </c>
      <c r="AO135" s="44">
        <f t="shared" ref="AO135" si="124">AO133-AO134</f>
        <v>0</v>
      </c>
      <c r="AP135" s="44">
        <f t="shared" ref="AP135" si="125">AP133-AP134</f>
        <v>0</v>
      </c>
      <c r="AQ135" s="44">
        <f>SUM(AB135:AP135)</f>
        <v>5856557.585792074</v>
      </c>
    </row>
    <row r="136" spans="22:65" ht="18" x14ac:dyDescent="0.25">
      <c r="AA136" s="93" t="s">
        <v>141</v>
      </c>
      <c r="AB136" s="109">
        <f>'Courbe des taux'!B2</f>
        <v>-6.1500000000000001E-3</v>
      </c>
      <c r="AC136" s="109">
        <v>-6.1500000000000001E-3</v>
      </c>
      <c r="AD136" s="109">
        <v>-6.0499999999999998E-3</v>
      </c>
      <c r="AE136" s="109">
        <v>-5.8500000000000002E-3</v>
      </c>
      <c r="AF136" s="109">
        <v>-5.5500000000000002E-3</v>
      </c>
      <c r="AG136" s="109">
        <v>-5.2599999999999999E-3</v>
      </c>
      <c r="AH136" s="109">
        <v>-4.8599999999999997E-3</v>
      </c>
      <c r="AI136" s="109">
        <v>-4.47E-3</v>
      </c>
      <c r="AJ136" s="109">
        <v>-3.9699999999999996E-3</v>
      </c>
      <c r="AK136" s="109">
        <v>-3.5699999999999998E-3</v>
      </c>
      <c r="AL136" s="109">
        <v>-3.1199999999999999E-3</v>
      </c>
      <c r="AM136" s="109">
        <v>-2.6800000000000001E-3</v>
      </c>
      <c r="AN136" s="109">
        <v>-2.32E-3</v>
      </c>
      <c r="AO136" s="109">
        <v>-1.97E-3</v>
      </c>
      <c r="AP136" s="109">
        <v>-1.67E-3</v>
      </c>
      <c r="AQ136" s="44"/>
    </row>
    <row r="137" spans="22:65" ht="18" x14ac:dyDescent="0.25">
      <c r="AA137" s="93" t="s">
        <v>142</v>
      </c>
      <c r="AB137" s="44">
        <f>AB135/(1+AB136)^AB132</f>
        <v>4941129.2324098824</v>
      </c>
      <c r="AC137" s="44">
        <f t="shared" ref="AC137:AP137" si="126">AC135/(1+AC136)^AC132</f>
        <v>532600.21106587385</v>
      </c>
      <c r="AD137" s="44">
        <f t="shared" si="126"/>
        <v>190506.89208631919</v>
      </c>
      <c r="AE137" s="44">
        <f t="shared" si="126"/>
        <v>136461.30106436965</v>
      </c>
      <c r="AF137" s="44">
        <f t="shared" si="126"/>
        <v>30231.536451365253</v>
      </c>
      <c r="AG137" s="44">
        <f t="shared" si="126"/>
        <v>36958.467977127722</v>
      </c>
      <c r="AH137" s="44">
        <f t="shared" si="126"/>
        <v>25171.799668304</v>
      </c>
      <c r="AI137" s="44">
        <f t="shared" si="126"/>
        <v>2690.169723649241</v>
      </c>
      <c r="AJ137" s="44">
        <f t="shared" si="126"/>
        <v>1365.0611933676928</v>
      </c>
      <c r="AK137" s="44">
        <f t="shared" si="126"/>
        <v>4393.0366900631452</v>
      </c>
      <c r="AL137" s="44">
        <f t="shared" si="126"/>
        <v>1094.8600872343593</v>
      </c>
      <c r="AM137" s="44">
        <f t="shared" si="126"/>
        <v>437.01636699786047</v>
      </c>
      <c r="AN137" s="44">
        <f t="shared" si="126"/>
        <v>218.07419196581469</v>
      </c>
      <c r="AO137" s="44">
        <f t="shared" si="126"/>
        <v>0</v>
      </c>
      <c r="AP137" s="44">
        <f t="shared" si="126"/>
        <v>0</v>
      </c>
      <c r="AQ137" s="44">
        <f>SUM(AB137:AP137)</f>
        <v>5903257.6589765195</v>
      </c>
    </row>
    <row r="138" spans="22:65" x14ac:dyDescent="0.25">
      <c r="AA138" s="93" t="s">
        <v>45</v>
      </c>
      <c r="AB138" s="109">
        <f>AB137/$AQ$137</f>
        <v>0.83701737546494848</v>
      </c>
      <c r="AC138" s="109">
        <f t="shared" ref="AC138:AQ139" si="127">AC137/$AQ$137</f>
        <v>9.0221406862700568E-2</v>
      </c>
      <c r="AD138" s="109">
        <f t="shared" si="127"/>
        <v>3.2271485185240659E-2</v>
      </c>
      <c r="AE138" s="109">
        <f t="shared" si="127"/>
        <v>2.3116270531892844E-2</v>
      </c>
      <c r="AF138" s="109">
        <f t="shared" si="127"/>
        <v>5.1211616022544849E-3</v>
      </c>
      <c r="AG138" s="109">
        <f t="shared" si="127"/>
        <v>6.2606903022314319E-3</v>
      </c>
      <c r="AH138" s="109">
        <f t="shared" si="127"/>
        <v>4.2640523457463612E-3</v>
      </c>
      <c r="AI138" s="109">
        <f t="shared" si="127"/>
        <v>4.5570935220124722E-4</v>
      </c>
      <c r="AJ138" s="109">
        <f t="shared" si="127"/>
        <v>2.3123862657290162E-4</v>
      </c>
      <c r="AK138" s="109">
        <f t="shared" si="127"/>
        <v>7.4417159877530913E-4</v>
      </c>
      <c r="AL138" s="109">
        <f t="shared" si="127"/>
        <v>1.8546710146888308E-4</v>
      </c>
      <c r="AM138" s="109">
        <f t="shared" si="127"/>
        <v>7.4029695507756035E-5</v>
      </c>
      <c r="AN138" s="109">
        <f t="shared" si="127"/>
        <v>3.6941330459159295E-5</v>
      </c>
      <c r="AO138" s="109">
        <f t="shared" si="127"/>
        <v>0</v>
      </c>
      <c r="AP138" s="109">
        <f t="shared" si="127"/>
        <v>0</v>
      </c>
      <c r="AQ138" s="109">
        <f t="shared" si="127"/>
        <v>1</v>
      </c>
    </row>
    <row r="140" spans="22:65" x14ac:dyDescent="0.25">
      <c r="AA140" s="129"/>
      <c r="AB140" s="129"/>
      <c r="AC140" s="129"/>
      <c r="AD140" s="129"/>
      <c r="AE140" s="129"/>
      <c r="AF140" s="129"/>
      <c r="AG140" s="129"/>
      <c r="AH140" s="129"/>
      <c r="AI140" s="129"/>
      <c r="AJ140" s="129"/>
      <c r="AK140" s="129"/>
      <c r="AL140" s="129"/>
      <c r="AM140" s="44" t="s">
        <v>183</v>
      </c>
      <c r="AN140" s="175">
        <v>0.1</v>
      </c>
      <c r="AO140" s="175">
        <v>0.2</v>
      </c>
      <c r="AP140" s="175">
        <v>0.3</v>
      </c>
      <c r="AQ140" s="175">
        <v>0.4</v>
      </c>
      <c r="AR140" s="175">
        <v>0.5</v>
      </c>
      <c r="AS140" s="175">
        <v>0.6</v>
      </c>
      <c r="AT140" s="175">
        <v>0.7</v>
      </c>
      <c r="AU140" s="175">
        <v>0.8</v>
      </c>
      <c r="AV140" s="175">
        <v>0.9</v>
      </c>
    </row>
    <row r="141" spans="22:65" ht="18" x14ac:dyDescent="0.25">
      <c r="AA141" s="110" t="s">
        <v>167</v>
      </c>
      <c r="AB141" s="128" t="s">
        <v>63</v>
      </c>
      <c r="AC141" s="128" t="s">
        <v>73</v>
      </c>
      <c r="AD141" s="129"/>
      <c r="AE141" s="129"/>
      <c r="AF141" s="129"/>
      <c r="AG141" s="135"/>
      <c r="AH141" s="93" t="s">
        <v>171</v>
      </c>
      <c r="AI141" s="93" t="s">
        <v>172</v>
      </c>
      <c r="AJ141" s="93" t="s">
        <v>173</v>
      </c>
      <c r="AK141" s="129"/>
      <c r="AL141" s="129"/>
      <c r="AM141" s="44" t="s">
        <v>184</v>
      </c>
      <c r="AN141" s="44">
        <f>21862573</f>
        <v>21862573</v>
      </c>
      <c r="AO141" s="44">
        <f>11213936</f>
        <v>11213936</v>
      </c>
      <c r="AP141" s="44">
        <f>7825847</f>
        <v>7825847</v>
      </c>
      <c r="AQ141" s="44">
        <f>6237630</f>
        <v>6237630</v>
      </c>
      <c r="AR141" s="44">
        <f>5355409</f>
        <v>5355409</v>
      </c>
      <c r="AS141" s="44">
        <f>4815022</f>
        <v>4815022</v>
      </c>
      <c r="AT141" s="44">
        <f>4461668</f>
        <v>4461668</v>
      </c>
      <c r="AU141" s="44">
        <f>4219271</f>
        <v>4219271</v>
      </c>
      <c r="AV141" s="44">
        <f>4046669</f>
        <v>4046669</v>
      </c>
    </row>
    <row r="142" spans="22:65" ht="18" x14ac:dyDescent="0.25">
      <c r="AA142" s="119" t="s">
        <v>168</v>
      </c>
      <c r="AB142" s="44">
        <f>SQRT(SUMPRODUCT(AB143:AB145,MMULT(AH142:AJ144,AB143:AB145)))</f>
        <v>4815022.34741381</v>
      </c>
      <c r="AC142" s="44">
        <f>SQRT(SUMPRODUCT(AC143:AC145,MMULT(AH142:AJ144,AC143:AC145)))</f>
        <v>9121291.7664522678</v>
      </c>
      <c r="AD142" s="129"/>
      <c r="AE142" s="129"/>
      <c r="AF142" s="129"/>
      <c r="AG142" s="93" t="s">
        <v>171</v>
      </c>
      <c r="AH142" s="124">
        <v>1</v>
      </c>
      <c r="AI142" s="124">
        <v>0</v>
      </c>
      <c r="AJ142" s="124">
        <v>0.25</v>
      </c>
      <c r="AK142" s="129"/>
      <c r="AL142" s="129"/>
      <c r="AM142" s="44" t="s">
        <v>185</v>
      </c>
      <c r="AN142" s="44">
        <f>25195640</f>
        <v>25195640</v>
      </c>
      <c r="AO142" s="44">
        <f>14905204</f>
        <v>14905204</v>
      </c>
      <c r="AP142" s="44">
        <f>11804677</f>
        <v>11804677</v>
      </c>
      <c r="AQ142" s="44">
        <f>10402222</f>
        <v>10402222</v>
      </c>
      <c r="AR142" s="44">
        <f>9633481</f>
        <v>9633481</v>
      </c>
      <c r="AS142" s="44">
        <f>9121292</f>
        <v>9121292</v>
      </c>
      <c r="AT142" s="44">
        <f>8844064</f>
        <v>8844064</v>
      </c>
      <c r="AU142" s="44">
        <f>8620845</f>
        <v>8620845</v>
      </c>
      <c r="AV142" s="44">
        <f>8456005</f>
        <v>8456005</v>
      </c>
    </row>
    <row r="143" spans="22:65" ht="18" x14ac:dyDescent="0.25">
      <c r="Z143" s="129"/>
      <c r="AA143" s="119" t="s">
        <v>164</v>
      </c>
      <c r="AB143" s="44">
        <f>AB148</f>
        <v>4815022.34741381</v>
      </c>
      <c r="AC143" s="44">
        <f>AC148</f>
        <v>9121291.7664522678</v>
      </c>
      <c r="AD143" s="129"/>
      <c r="AE143" s="129"/>
      <c r="AF143" s="129"/>
      <c r="AG143" s="93" t="s">
        <v>172</v>
      </c>
      <c r="AH143" s="124">
        <v>0</v>
      </c>
      <c r="AI143" s="124">
        <v>1</v>
      </c>
      <c r="AJ143" s="124">
        <v>0</v>
      </c>
      <c r="AK143" s="129"/>
      <c r="AL143" s="129"/>
      <c r="AN143" s="129"/>
      <c r="AO143" s="129"/>
      <c r="AP143" s="129"/>
      <c r="AQ143" s="129"/>
      <c r="AR143" s="129"/>
      <c r="AS143" s="129"/>
      <c r="AT143" s="129"/>
      <c r="AU143" s="129"/>
      <c r="AV143" s="129"/>
      <c r="AW143" s="129"/>
      <c r="AX143" s="129"/>
      <c r="AY143" s="129"/>
      <c r="AZ143" s="129"/>
      <c r="BA143" s="129"/>
      <c r="BB143" s="129"/>
      <c r="BC143" s="129"/>
      <c r="BD143" s="129"/>
      <c r="BE143" s="129"/>
      <c r="BF143" s="129"/>
      <c r="BG143" s="129"/>
      <c r="BH143" s="129"/>
      <c r="BI143" s="129"/>
      <c r="BJ143" s="129"/>
      <c r="BK143" s="129"/>
      <c r="BL143" s="129"/>
      <c r="BM143" s="129"/>
    </row>
    <row r="144" spans="22:65" ht="18" x14ac:dyDescent="0.25">
      <c r="Z144" s="129"/>
      <c r="AA144" s="119" t="s">
        <v>169</v>
      </c>
      <c r="AB144" s="44">
        <v>0</v>
      </c>
      <c r="AC144" s="44">
        <v>0</v>
      </c>
      <c r="AD144" s="129"/>
      <c r="AE144" s="129"/>
      <c r="AF144" s="129"/>
      <c r="AG144" s="93" t="s">
        <v>173</v>
      </c>
      <c r="AH144" s="124">
        <v>0.25</v>
      </c>
      <c r="AI144" s="124">
        <v>0</v>
      </c>
      <c r="AJ144" s="124">
        <v>1</v>
      </c>
      <c r="AK144" s="129"/>
      <c r="AL144" s="129"/>
      <c r="AM144" s="129"/>
      <c r="AN144" s="129"/>
      <c r="AO144" s="129"/>
      <c r="AP144" s="129"/>
      <c r="AQ144" s="129"/>
      <c r="AR144" s="129"/>
      <c r="AS144" s="129"/>
      <c r="AT144" s="129"/>
      <c r="AU144" s="129"/>
      <c r="AV144" s="129"/>
      <c r="AW144" s="129"/>
      <c r="AX144" s="129"/>
      <c r="AY144" s="129"/>
      <c r="AZ144" s="129"/>
      <c r="BA144" s="129"/>
      <c r="BB144" s="129"/>
      <c r="BC144" s="129"/>
      <c r="BD144" s="129"/>
      <c r="BE144" s="129"/>
      <c r="BF144" s="129"/>
      <c r="BG144" s="129"/>
      <c r="BH144" s="129"/>
      <c r="BI144" s="129"/>
      <c r="BJ144" s="129"/>
      <c r="BK144" s="129"/>
      <c r="BL144" s="129"/>
      <c r="BM144" s="129"/>
    </row>
    <row r="145" spans="26:65" x14ac:dyDescent="0.25">
      <c r="Z145" s="129"/>
      <c r="AA145" s="119" t="s">
        <v>170</v>
      </c>
      <c r="AB145" s="44">
        <v>0</v>
      </c>
      <c r="AC145" s="44">
        <v>0</v>
      </c>
      <c r="AD145" s="129"/>
      <c r="AE145" s="129"/>
      <c r="AF145" s="129"/>
      <c r="AG145" s="129"/>
      <c r="AH145" s="129"/>
      <c r="AI145" s="129"/>
      <c r="AJ145" s="129"/>
      <c r="AK145" s="129"/>
      <c r="AL145" s="129"/>
      <c r="AM145" s="129"/>
      <c r="AN145" s="129"/>
      <c r="AO145" s="129"/>
      <c r="AP145" s="129"/>
      <c r="AQ145" s="129"/>
      <c r="AR145" s="129"/>
      <c r="AS145" s="129"/>
      <c r="AT145" s="129"/>
      <c r="AU145" s="129"/>
      <c r="AV145" s="129"/>
      <c r="AW145" s="129"/>
      <c r="AX145" s="129"/>
      <c r="AY145" s="129"/>
      <c r="AZ145" s="129"/>
      <c r="BA145" s="129"/>
      <c r="BB145" s="129"/>
      <c r="BC145" s="129"/>
      <c r="BD145" s="129"/>
      <c r="BE145" s="129"/>
      <c r="BF145" s="129"/>
      <c r="BG145" s="129"/>
      <c r="BH145" s="129"/>
      <c r="BI145" s="129"/>
      <c r="BJ145" s="129"/>
      <c r="BK145" s="129"/>
      <c r="BL145" s="129"/>
      <c r="BM145" s="129"/>
    </row>
    <row r="146" spans="26:65" x14ac:dyDescent="0.25">
      <c r="Z146" s="129"/>
      <c r="AA146" s="122"/>
      <c r="AB146" s="129"/>
      <c r="AC146" s="129"/>
      <c r="AD146" s="129"/>
      <c r="AE146" s="129"/>
      <c r="AF146" s="129"/>
      <c r="AG146" s="129"/>
      <c r="AH146" s="129"/>
      <c r="AI146" s="129"/>
      <c r="AJ146" s="129"/>
      <c r="AK146" s="129"/>
      <c r="AL146" s="129"/>
      <c r="AM146" s="129"/>
      <c r="AN146" s="129"/>
      <c r="AO146" s="129"/>
      <c r="AP146" s="129"/>
      <c r="AQ146" s="129"/>
      <c r="AR146" s="129"/>
      <c r="AS146" s="129"/>
      <c r="AT146" s="129"/>
      <c r="AU146" s="129"/>
      <c r="AV146" s="129"/>
      <c r="AW146" s="129"/>
      <c r="AX146" s="129"/>
      <c r="AY146" s="129"/>
      <c r="AZ146" s="129"/>
      <c r="BA146" s="129"/>
      <c r="BB146" s="129"/>
      <c r="BC146" s="129"/>
      <c r="BD146" s="129"/>
      <c r="BE146" s="129"/>
      <c r="BF146" s="129"/>
      <c r="BG146" s="129"/>
      <c r="BH146" s="129"/>
      <c r="BI146" s="129"/>
      <c r="BJ146" s="129"/>
      <c r="BK146" s="129"/>
      <c r="BL146" s="129"/>
      <c r="BM146" s="129"/>
    </row>
    <row r="147" spans="26:65" x14ac:dyDescent="0.25">
      <c r="Z147" s="129"/>
      <c r="AA147" s="129"/>
      <c r="AB147" s="128" t="s">
        <v>63</v>
      </c>
      <c r="AC147" s="128" t="s">
        <v>73</v>
      </c>
      <c r="AD147" s="129"/>
      <c r="AE147" s="129"/>
      <c r="AF147" s="129"/>
      <c r="AG147" s="129"/>
      <c r="AH147" s="129"/>
      <c r="AI147" s="129"/>
      <c r="AJ147" s="129"/>
      <c r="AK147" s="129"/>
      <c r="AL147" s="129"/>
      <c r="AM147" s="129"/>
      <c r="AN147" s="129"/>
      <c r="AO147" s="129"/>
      <c r="AP147" s="129"/>
      <c r="AQ147" s="129"/>
      <c r="AR147" s="129"/>
      <c r="AS147" s="129"/>
      <c r="AT147" s="129"/>
      <c r="AU147" s="129"/>
      <c r="AV147" s="129"/>
      <c r="AW147" s="129"/>
      <c r="AX147" s="129"/>
      <c r="AY147" s="129"/>
      <c r="AZ147" s="129"/>
      <c r="BA147" s="129"/>
      <c r="BB147" s="129"/>
      <c r="BC147" s="129"/>
      <c r="BD147" s="129"/>
      <c r="BE147" s="129"/>
      <c r="BF147" s="129"/>
      <c r="BG147" s="129"/>
      <c r="BH147" s="129"/>
      <c r="BI147" s="129"/>
      <c r="BJ147" s="129"/>
      <c r="BK147" s="129"/>
      <c r="BL147" s="129"/>
      <c r="BM147" s="129"/>
    </row>
    <row r="148" spans="26:65" ht="18" x14ac:dyDescent="0.25">
      <c r="Z148" s="129"/>
      <c r="AA148" s="93" t="s">
        <v>164</v>
      </c>
      <c r="AB148" s="44">
        <f>3*AB149*AB150</f>
        <v>4815022.34741381</v>
      </c>
      <c r="AC148" s="44">
        <f>3*AC149*AC150</f>
        <v>9121291.7664522678</v>
      </c>
      <c r="AD148" s="129"/>
      <c r="AE148" s="129"/>
      <c r="AF148" s="129"/>
      <c r="AG148" s="129"/>
      <c r="AH148" s="129"/>
      <c r="AI148" s="129"/>
      <c r="AJ148" s="129"/>
      <c r="AK148" s="129"/>
      <c r="AL148" s="129"/>
      <c r="AM148" s="129"/>
      <c r="AN148" s="129"/>
      <c r="AO148" s="129"/>
      <c r="AP148" s="129"/>
      <c r="AQ148" s="129"/>
      <c r="AR148" s="129"/>
      <c r="AS148" s="129"/>
      <c r="AT148" s="129"/>
      <c r="AU148" s="129"/>
      <c r="AV148" s="129"/>
      <c r="AW148" s="129"/>
      <c r="AX148" s="129"/>
      <c r="AY148" s="129"/>
      <c r="AZ148" s="129"/>
      <c r="BA148" s="129"/>
      <c r="BB148" s="129"/>
      <c r="BC148" s="129"/>
      <c r="BD148" s="129"/>
      <c r="BE148" s="129"/>
      <c r="BF148" s="129"/>
      <c r="BG148" s="129"/>
      <c r="BH148" s="129"/>
      <c r="BI148" s="129"/>
      <c r="BJ148" s="129"/>
      <c r="BK148" s="129"/>
      <c r="BL148" s="129"/>
      <c r="BM148" s="129"/>
    </row>
    <row r="149" spans="26:65" x14ac:dyDescent="0.25">
      <c r="Z149" s="129"/>
      <c r="AA149" s="93" t="s">
        <v>165</v>
      </c>
      <c r="AB149" s="44">
        <f>AJ160</f>
        <v>22394256.38290403</v>
      </c>
      <c r="AC149" s="44">
        <f>AK160</f>
        <v>40611590.992309853</v>
      </c>
      <c r="AD149" s="129"/>
      <c r="AE149" s="129"/>
      <c r="AF149" s="129"/>
      <c r="AG149" s="129"/>
      <c r="AH149" s="129"/>
      <c r="AI149" s="129"/>
      <c r="AJ149" s="129"/>
      <c r="AK149" s="129"/>
      <c r="AL149" s="129"/>
      <c r="AM149" s="129"/>
      <c r="AN149" s="129"/>
      <c r="AO149" s="129"/>
      <c r="AP149" s="129"/>
      <c r="AQ149" s="129"/>
      <c r="AR149" s="129"/>
      <c r="AU149" s="129"/>
      <c r="AV149" s="129"/>
      <c r="AW149" s="129"/>
      <c r="AX149" s="129"/>
      <c r="AY149" s="129"/>
      <c r="AZ149" s="129"/>
      <c r="BA149" s="129"/>
      <c r="BB149" s="129"/>
      <c r="BC149" s="129"/>
      <c r="BD149" s="129"/>
      <c r="BE149" s="129"/>
      <c r="BF149" s="129"/>
      <c r="BG149" s="129"/>
      <c r="BH149" s="129"/>
      <c r="BI149" s="129"/>
      <c r="BJ149" s="129"/>
      <c r="BK149" s="129"/>
      <c r="BL149" s="129"/>
      <c r="BM149" s="129"/>
    </row>
    <row r="150" spans="26:65" ht="18" x14ac:dyDescent="0.25">
      <c r="Z150" s="129"/>
      <c r="AA150" s="93" t="s">
        <v>166</v>
      </c>
      <c r="AB150" s="109">
        <f>AR158</f>
        <v>7.1670495402705717E-2</v>
      </c>
      <c r="AC150" s="109">
        <f>AR159</f>
        <v>7.4866079228296023E-2</v>
      </c>
      <c r="AD150" s="129"/>
      <c r="AE150" s="129"/>
      <c r="AF150" s="129"/>
      <c r="AG150" s="129"/>
      <c r="AH150" s="129"/>
      <c r="AI150" s="129"/>
      <c r="AJ150" s="129"/>
      <c r="AK150" s="129"/>
      <c r="AL150" s="129"/>
      <c r="AM150" s="129"/>
      <c r="AN150" s="129"/>
      <c r="AO150" s="129"/>
      <c r="AP150" s="129"/>
      <c r="AQ150" s="129"/>
      <c r="AR150" s="129"/>
      <c r="AU150" s="129"/>
      <c r="AV150" s="129"/>
      <c r="AW150" s="129"/>
      <c r="AX150" s="129"/>
      <c r="AY150" s="129"/>
      <c r="AZ150" s="129"/>
      <c r="BA150" s="129"/>
      <c r="BB150" s="129"/>
      <c r="BC150" s="129"/>
      <c r="BD150" s="129"/>
      <c r="BE150" s="129"/>
      <c r="BF150" s="129"/>
      <c r="BG150" s="129"/>
      <c r="BH150" s="129"/>
      <c r="BI150" s="129"/>
      <c r="BJ150" s="129"/>
      <c r="BK150" s="129"/>
      <c r="BL150" s="129"/>
      <c r="BM150" s="129"/>
    </row>
    <row r="151" spans="26:65" ht="18" customHeight="1" x14ac:dyDescent="0.25">
      <c r="Z151" s="129"/>
      <c r="AU151" s="129"/>
      <c r="AV151" s="129"/>
      <c r="AW151" s="129"/>
      <c r="AX151" s="129"/>
      <c r="AY151" s="129"/>
      <c r="AZ151" s="129"/>
      <c r="BA151" s="129"/>
      <c r="BB151" s="129"/>
      <c r="BC151" s="129"/>
      <c r="BD151" s="129"/>
      <c r="BE151" s="129"/>
      <c r="BF151" s="129"/>
      <c r="BG151" s="129"/>
      <c r="BH151" s="129"/>
      <c r="BI151" s="129"/>
      <c r="BJ151" s="129"/>
      <c r="BK151" s="129"/>
      <c r="BL151" s="129"/>
      <c r="BM151" s="129"/>
    </row>
    <row r="152" spans="26:65" x14ac:dyDescent="0.25">
      <c r="Z152" s="129"/>
      <c r="AU152" s="129"/>
      <c r="AV152" s="129"/>
      <c r="AW152" s="129"/>
      <c r="AX152" s="129"/>
      <c r="AY152" s="129"/>
      <c r="AZ152" s="129"/>
      <c r="BA152" s="129"/>
      <c r="BB152" s="129"/>
      <c r="BC152" s="129"/>
      <c r="BD152" s="129"/>
      <c r="BE152" s="129"/>
      <c r="BF152" s="129"/>
      <c r="BG152" s="129"/>
      <c r="BH152" s="129"/>
      <c r="BI152" s="129"/>
      <c r="BJ152" s="129"/>
      <c r="BK152" s="129"/>
      <c r="BL152" s="129"/>
      <c r="BM152" s="129"/>
    </row>
    <row r="153" spans="26:65" x14ac:dyDescent="0.25">
      <c r="Z153" s="129"/>
      <c r="AU153" s="129"/>
      <c r="AV153" s="129"/>
      <c r="AW153" s="129"/>
      <c r="AX153" s="129"/>
      <c r="AY153" s="129"/>
      <c r="AZ153" s="129"/>
      <c r="BA153" s="129"/>
      <c r="BB153" s="129"/>
      <c r="BC153" s="129"/>
      <c r="BD153" s="129"/>
      <c r="BE153" s="129"/>
      <c r="BF153" s="129"/>
      <c r="BG153" s="129"/>
      <c r="BH153" s="129"/>
      <c r="BI153" s="129"/>
      <c r="BJ153" s="129"/>
      <c r="BK153" s="129"/>
      <c r="BL153" s="129"/>
      <c r="BM153" s="129"/>
    </row>
    <row r="154" spans="26:65" x14ac:dyDescent="0.25">
      <c r="Z154" s="129"/>
      <c r="AU154" s="129"/>
      <c r="AV154" s="129"/>
      <c r="AW154" s="129"/>
      <c r="AX154" s="129"/>
      <c r="AY154" s="129"/>
      <c r="AZ154" s="129"/>
      <c r="BA154" s="129"/>
      <c r="BB154" s="129"/>
      <c r="BC154" s="129"/>
      <c r="BD154" s="129"/>
      <c r="BE154" s="129"/>
      <c r="BF154" s="129"/>
      <c r="BG154" s="129"/>
      <c r="BH154" s="129"/>
      <c r="BI154" s="129"/>
      <c r="BJ154" s="129"/>
      <c r="BK154" s="129"/>
      <c r="BL154" s="129"/>
      <c r="BM154" s="129"/>
    </row>
    <row r="155" spans="26:65" x14ac:dyDescent="0.25">
      <c r="Z155" s="129"/>
      <c r="AU155" s="129"/>
      <c r="AV155" s="129"/>
      <c r="AW155" s="129"/>
      <c r="AX155" s="129"/>
      <c r="AY155" s="129"/>
      <c r="AZ155" s="129"/>
      <c r="BA155" s="129"/>
      <c r="BB155" s="129"/>
      <c r="BC155" s="129"/>
      <c r="BD155" s="129"/>
      <c r="BE155" s="129"/>
      <c r="BF155" s="129"/>
      <c r="BG155" s="129"/>
      <c r="BH155" s="129"/>
      <c r="BI155" s="129"/>
      <c r="BJ155" s="129"/>
      <c r="BK155" s="129"/>
      <c r="BL155" s="129"/>
      <c r="BM155" s="129"/>
    </row>
    <row r="156" spans="26:65" x14ac:dyDescent="0.25">
      <c r="Z156" s="129"/>
      <c r="AC156" s="120"/>
      <c r="AD156" s="120"/>
      <c r="AE156" s="120"/>
      <c r="AF156" s="120"/>
      <c r="AG156" s="120"/>
      <c r="AH156" s="120"/>
      <c r="AI156" s="120"/>
      <c r="AJ156" s="120"/>
      <c r="AK156" s="120"/>
      <c r="AL156" s="120"/>
      <c r="AM156" s="120"/>
      <c r="AN156" s="120"/>
      <c r="AO156" s="120"/>
      <c r="AP156" s="120"/>
      <c r="AU156" s="129"/>
      <c r="AV156" s="129"/>
      <c r="AW156" s="129"/>
      <c r="AX156" s="129"/>
      <c r="AY156" s="129"/>
      <c r="AZ156" s="129"/>
      <c r="BA156" s="129"/>
      <c r="BB156" s="129"/>
      <c r="BC156" s="129"/>
      <c r="BD156" s="129"/>
      <c r="BE156" s="129"/>
      <c r="BF156" s="129"/>
      <c r="BG156" s="129"/>
      <c r="BH156" s="129"/>
      <c r="BI156" s="129"/>
      <c r="BJ156" s="129"/>
      <c r="BK156" s="129"/>
      <c r="BL156" s="129"/>
      <c r="BM156" s="129"/>
    </row>
    <row r="157" spans="26:65" ht="22.5" x14ac:dyDescent="0.25">
      <c r="Z157" s="129"/>
      <c r="AA157" s="66" t="s">
        <v>128</v>
      </c>
      <c r="AB157" s="116">
        <f>SQRT(SUMPRODUCT($AB$159:$AB$170,MMULT(AZ169:BK180,$AB$159:$AB$170)))</f>
        <v>1605007.4491379363</v>
      </c>
      <c r="AC157" s="116">
        <f>SQRT(SUMPRODUCT($AC$159:$AC$170,MMULT(AZ169:BK180,$AC$159:$AC$170)))</f>
        <v>3040430.5888174227</v>
      </c>
      <c r="AU157" s="129"/>
      <c r="AV157" s="129"/>
      <c r="AW157" s="129"/>
      <c r="AX157" s="129"/>
      <c r="AY157" s="129"/>
      <c r="AZ157" s="129"/>
      <c r="BA157" s="129"/>
      <c r="BB157" s="129"/>
      <c r="BC157" s="129"/>
      <c r="BD157" s="129"/>
      <c r="BE157" s="129"/>
      <c r="BF157" s="129"/>
      <c r="BG157" s="129"/>
      <c r="BH157" s="129"/>
      <c r="BI157" s="129"/>
      <c r="BJ157" s="129"/>
      <c r="BK157" s="129"/>
      <c r="BL157" s="129"/>
      <c r="BM157" s="129"/>
    </row>
    <row r="158" spans="26:65" ht="34.5" x14ac:dyDescent="0.25">
      <c r="Z158" s="129"/>
      <c r="AA158" s="26" t="s">
        <v>129</v>
      </c>
      <c r="AB158" s="26" t="s">
        <v>133</v>
      </c>
      <c r="AC158" s="26" t="s">
        <v>134</v>
      </c>
      <c r="AD158" s="26" t="s">
        <v>135</v>
      </c>
      <c r="AE158" s="66" t="s">
        <v>136</v>
      </c>
      <c r="AF158" s="66" t="s">
        <v>144</v>
      </c>
      <c r="AG158" s="26" t="s">
        <v>143</v>
      </c>
      <c r="AH158" s="26" t="s">
        <v>130</v>
      </c>
      <c r="AI158" s="26" t="s">
        <v>131</v>
      </c>
      <c r="AJ158" s="26" t="s">
        <v>137</v>
      </c>
      <c r="AK158" s="26" t="s">
        <v>138</v>
      </c>
      <c r="AL158" s="26" t="s">
        <v>132</v>
      </c>
      <c r="AM158" s="26" t="s">
        <v>139</v>
      </c>
      <c r="AN158" s="26" t="s">
        <v>140</v>
      </c>
      <c r="AO158" s="117" t="s">
        <v>146</v>
      </c>
      <c r="AP158" s="118" t="s">
        <v>145</v>
      </c>
      <c r="AQ158" s="66" t="s">
        <v>150</v>
      </c>
      <c r="AR158" s="109">
        <f>(SQRT(AF160^2+AD160^2+AF160*AD160)/AJ160)</f>
        <v>7.1670495402705717E-2</v>
      </c>
      <c r="AU158" s="129"/>
      <c r="AV158" s="129"/>
      <c r="AW158" s="129"/>
      <c r="AX158" s="129"/>
      <c r="AY158" s="129"/>
      <c r="AZ158" s="129"/>
      <c r="BA158" s="129"/>
      <c r="BB158" s="129"/>
      <c r="BC158" s="129"/>
      <c r="BD158" s="129"/>
      <c r="BE158" s="129"/>
      <c r="BF158" s="129"/>
      <c r="BG158" s="129"/>
      <c r="BH158" s="129"/>
      <c r="BI158" s="129"/>
      <c r="BJ158" s="129"/>
      <c r="BK158" s="129"/>
      <c r="BL158" s="129"/>
    </row>
    <row r="159" spans="26:65" x14ac:dyDescent="0.25">
      <c r="Z159" s="129"/>
      <c r="AA159" s="26" t="s">
        <v>107</v>
      </c>
      <c r="AB159" s="25">
        <v>0</v>
      </c>
      <c r="AC159" s="25">
        <v>0</v>
      </c>
      <c r="AD159" s="25"/>
      <c r="AE159" s="25"/>
      <c r="AF159" s="25"/>
      <c r="AG159" s="25"/>
      <c r="AH159" s="31">
        <v>0.09</v>
      </c>
      <c r="AI159" s="31">
        <v>0.1</v>
      </c>
      <c r="AJ159" s="31"/>
      <c r="AK159" s="31"/>
      <c r="AL159" s="31">
        <v>1</v>
      </c>
      <c r="AM159" s="25"/>
      <c r="AN159" s="25">
        <v>0</v>
      </c>
      <c r="AO159" s="25"/>
      <c r="AP159" s="25"/>
      <c r="AQ159" s="66" t="s">
        <v>149</v>
      </c>
      <c r="AR159" s="109">
        <f>(SQRT(AG160^2+AE160^2+AE160*AG160)/AK160)</f>
        <v>7.4866079228296023E-2</v>
      </c>
    </row>
    <row r="160" spans="26:65" x14ac:dyDescent="0.25">
      <c r="Z160" s="129"/>
      <c r="AA160" s="115" t="s">
        <v>109</v>
      </c>
      <c r="AB160" s="113">
        <f>AJ160*AR158</f>
        <v>1605007.4491379363</v>
      </c>
      <c r="AC160" s="114">
        <f>AK160*AR159</f>
        <v>3040430.5888174227</v>
      </c>
      <c r="AD160" s="113">
        <f>AH160*AM160</f>
        <v>484873.84396565566</v>
      </c>
      <c r="AE160" s="114">
        <f>AN160*AH160</f>
        <v>472260.61271812156</v>
      </c>
      <c r="AF160" s="113">
        <f>AO160*AH160</f>
        <v>1306666.6666666667</v>
      </c>
      <c r="AG160" s="114">
        <f>AP160*AI160</f>
        <v>2776666.666666667</v>
      </c>
      <c r="AH160" s="31">
        <v>0.08</v>
      </c>
      <c r="AI160" s="31">
        <v>0.08</v>
      </c>
      <c r="AJ160" s="112">
        <f>SUM(AM160,AO160)</f>
        <v>22394256.38290403</v>
      </c>
      <c r="AK160" s="111">
        <f>SUM(AN160,AP160)</f>
        <v>40611590.992309853</v>
      </c>
      <c r="AL160" s="31">
        <v>1</v>
      </c>
      <c r="AM160" s="113">
        <f>AQ126</f>
        <v>6060923.0495706955</v>
      </c>
      <c r="AN160" s="114">
        <f>AQ137</f>
        <v>5903257.6589765195</v>
      </c>
      <c r="AO160" s="113">
        <f>MAX(AB175,AD175)+AH175</f>
        <v>16333333.333333334</v>
      </c>
      <c r="AP160" s="114">
        <f>MAX(AC175,AE175)+AI175</f>
        <v>34708333.333333336</v>
      </c>
    </row>
    <row r="161" spans="27:63" ht="22.5" x14ac:dyDescent="0.25">
      <c r="AA161" s="26" t="s">
        <v>110</v>
      </c>
      <c r="AB161" s="25">
        <v>0</v>
      </c>
      <c r="AC161" s="25">
        <v>0</v>
      </c>
      <c r="AD161" s="25"/>
      <c r="AE161" s="25"/>
      <c r="AF161" s="25"/>
      <c r="AG161" s="25"/>
      <c r="AH161" s="31">
        <v>0.11</v>
      </c>
      <c r="AI161" s="31">
        <v>0.15</v>
      </c>
      <c r="AJ161" s="31"/>
      <c r="AK161" s="31"/>
      <c r="AL161" s="31">
        <v>1</v>
      </c>
      <c r="AM161" s="25"/>
      <c r="AN161" s="25">
        <v>0</v>
      </c>
      <c r="AO161" s="25"/>
      <c r="AP161" s="25"/>
    </row>
    <row r="162" spans="27:63" ht="22.5" x14ac:dyDescent="0.25">
      <c r="AA162" s="26" t="s">
        <v>111</v>
      </c>
      <c r="AB162" s="25">
        <v>0</v>
      </c>
      <c r="AC162" s="25">
        <v>0</v>
      </c>
      <c r="AD162" s="25"/>
      <c r="AE162" s="25"/>
      <c r="AF162" s="25"/>
      <c r="AG162" s="25"/>
      <c r="AH162" s="31">
        <v>0.1</v>
      </c>
      <c r="AI162" s="31">
        <v>0.08</v>
      </c>
      <c r="AJ162" s="31"/>
      <c r="AK162" s="31"/>
      <c r="AL162" s="31">
        <v>1</v>
      </c>
      <c r="AM162" s="25"/>
      <c r="AN162" s="25">
        <v>0</v>
      </c>
      <c r="AO162" s="25"/>
      <c r="AP162" s="25"/>
    </row>
    <row r="163" spans="27:63" x14ac:dyDescent="0.25">
      <c r="AA163" s="26" t="s">
        <v>112</v>
      </c>
      <c r="AB163" s="25">
        <v>0</v>
      </c>
      <c r="AC163" s="25">
        <v>0</v>
      </c>
      <c r="AD163" s="25"/>
      <c r="AE163" s="25"/>
      <c r="AF163" s="25"/>
      <c r="AG163" s="25"/>
      <c r="AH163" s="31">
        <v>0.11</v>
      </c>
      <c r="AI163" s="31">
        <v>0.14000000000000001</v>
      </c>
      <c r="AJ163" s="31"/>
      <c r="AK163" s="31"/>
      <c r="AL163" s="31">
        <v>1</v>
      </c>
      <c r="AM163" s="25"/>
      <c r="AN163" s="25">
        <v>0</v>
      </c>
      <c r="AO163" s="25"/>
      <c r="AP163" s="25"/>
    </row>
    <row r="164" spans="27:63" x14ac:dyDescent="0.25">
      <c r="AA164" s="26" t="s">
        <v>113</v>
      </c>
      <c r="AB164" s="25">
        <v>0</v>
      </c>
      <c r="AC164" s="25">
        <v>0</v>
      </c>
      <c r="AD164" s="25"/>
      <c r="AE164" s="25"/>
      <c r="AF164" s="25"/>
      <c r="AG164" s="25"/>
      <c r="AH164" s="31">
        <v>0.19</v>
      </c>
      <c r="AI164" s="31">
        <v>0.12</v>
      </c>
      <c r="AJ164" s="31"/>
      <c r="AK164" s="31"/>
      <c r="AL164" s="31">
        <v>1</v>
      </c>
      <c r="AM164" s="25"/>
      <c r="AN164" s="25">
        <v>0</v>
      </c>
      <c r="AO164" s="25"/>
      <c r="AP164" s="25"/>
    </row>
    <row r="165" spans="27:63" x14ac:dyDescent="0.25">
      <c r="AA165" s="26" t="s">
        <v>114</v>
      </c>
      <c r="AB165" s="25">
        <v>0</v>
      </c>
      <c r="AC165" s="25">
        <v>0</v>
      </c>
      <c r="AD165" s="25"/>
      <c r="AE165" s="25"/>
      <c r="AF165" s="25"/>
      <c r="AG165" s="25"/>
      <c r="AH165" s="31">
        <v>0.12</v>
      </c>
      <c r="AI165" s="31">
        <v>7.0000000000000007E-2</v>
      </c>
      <c r="AJ165" s="31"/>
      <c r="AK165" s="31"/>
      <c r="AL165" s="31">
        <v>1</v>
      </c>
      <c r="AM165" s="25"/>
      <c r="AN165" s="25">
        <v>0</v>
      </c>
      <c r="AO165" s="25"/>
      <c r="AP165" s="25"/>
    </row>
    <row r="166" spans="27:63" x14ac:dyDescent="0.25">
      <c r="AA166" s="26" t="s">
        <v>115</v>
      </c>
      <c r="AB166" s="25">
        <v>0</v>
      </c>
      <c r="AC166" s="25">
        <v>0</v>
      </c>
      <c r="AD166" s="25"/>
      <c r="AE166" s="25"/>
      <c r="AF166" s="25"/>
      <c r="AG166" s="25"/>
      <c r="AH166" s="31">
        <v>0.2</v>
      </c>
      <c r="AI166" s="31">
        <v>0.09</v>
      </c>
      <c r="AJ166" s="31"/>
      <c r="AK166" s="31"/>
      <c r="AL166" s="31">
        <v>1</v>
      </c>
      <c r="AM166" s="25"/>
      <c r="AN166" s="25">
        <v>0</v>
      </c>
      <c r="AO166" s="25"/>
      <c r="AP166" s="25"/>
    </row>
    <row r="167" spans="27:63" x14ac:dyDescent="0.25">
      <c r="AA167" s="26" t="s">
        <v>116</v>
      </c>
      <c r="AB167" s="25">
        <v>0</v>
      </c>
      <c r="AC167" s="25">
        <v>0</v>
      </c>
      <c r="AD167" s="25"/>
      <c r="AE167" s="25"/>
      <c r="AF167" s="25"/>
      <c r="AG167" s="25"/>
      <c r="AH167" s="31">
        <v>0.2</v>
      </c>
      <c r="AI167" s="31">
        <v>0.13</v>
      </c>
      <c r="AJ167" s="31"/>
      <c r="AK167" s="31"/>
      <c r="AL167" s="31">
        <v>1</v>
      </c>
      <c r="AM167" s="25"/>
      <c r="AN167" s="25"/>
      <c r="AO167" s="25"/>
      <c r="AP167" s="25"/>
    </row>
    <row r="168" spans="27:63" ht="22.5" x14ac:dyDescent="0.25">
      <c r="AA168" s="26" t="s">
        <v>117</v>
      </c>
      <c r="AB168" s="25">
        <v>0</v>
      </c>
      <c r="AC168" s="25">
        <v>0</v>
      </c>
      <c r="AD168" s="25"/>
      <c r="AE168" s="25"/>
      <c r="AF168" s="25"/>
      <c r="AG168" s="25"/>
      <c r="AH168" s="31">
        <v>0.2</v>
      </c>
      <c r="AI168" s="31">
        <v>0.17</v>
      </c>
      <c r="AJ168" s="31"/>
      <c r="AK168" s="31"/>
      <c r="AL168" s="31">
        <v>1</v>
      </c>
      <c r="AM168" s="25"/>
      <c r="AN168" s="25">
        <v>0</v>
      </c>
      <c r="AO168" s="25"/>
      <c r="AP168" s="25"/>
      <c r="AY168" s="66" t="s">
        <v>151</v>
      </c>
      <c r="AZ168" s="66">
        <v>1</v>
      </c>
      <c r="BA168" s="66">
        <v>2</v>
      </c>
      <c r="BB168" s="66">
        <v>3</v>
      </c>
      <c r="BC168" s="66">
        <v>4</v>
      </c>
      <c r="BD168" s="66">
        <v>5</v>
      </c>
      <c r="BE168" s="66">
        <v>6</v>
      </c>
      <c r="BF168" s="66">
        <v>7</v>
      </c>
      <c r="BG168" s="66">
        <v>8</v>
      </c>
      <c r="BH168" s="66">
        <v>9</v>
      </c>
      <c r="BI168" s="66">
        <v>10</v>
      </c>
      <c r="BJ168" s="66">
        <v>11</v>
      </c>
      <c r="BK168" s="66">
        <v>12</v>
      </c>
    </row>
    <row r="169" spans="27:63" ht="22.5" x14ac:dyDescent="0.25">
      <c r="AA169" s="26" t="s">
        <v>118</v>
      </c>
      <c r="AB169" s="25">
        <v>0</v>
      </c>
      <c r="AC169" s="25">
        <v>0</v>
      </c>
      <c r="AD169" s="25"/>
      <c r="AE169" s="25"/>
      <c r="AF169" s="25"/>
      <c r="AG169" s="121"/>
      <c r="AH169" s="31">
        <v>0.2</v>
      </c>
      <c r="AI169" s="31">
        <v>0.17</v>
      </c>
      <c r="AJ169" s="31"/>
      <c r="AK169" s="31"/>
      <c r="AL169" s="31">
        <v>1</v>
      </c>
      <c r="AM169" s="25">
        <v>0</v>
      </c>
      <c r="AN169" s="25"/>
      <c r="AO169" s="25"/>
      <c r="AP169" s="25"/>
      <c r="AY169" s="66" t="s">
        <v>152</v>
      </c>
      <c r="AZ169" s="31">
        <v>1</v>
      </c>
      <c r="BA169" s="31">
        <v>0.5</v>
      </c>
      <c r="BB169" s="31">
        <v>0.5</v>
      </c>
      <c r="BC169" s="31">
        <v>0.25</v>
      </c>
      <c r="BD169" s="31">
        <v>0.5</v>
      </c>
      <c r="BE169" s="31">
        <v>0.25</v>
      </c>
      <c r="BF169" s="31">
        <v>0.5</v>
      </c>
      <c r="BG169" s="31">
        <v>0.25</v>
      </c>
      <c r="BH169" s="31">
        <v>0.5</v>
      </c>
      <c r="BI169" s="31">
        <v>0.25</v>
      </c>
      <c r="BJ169" s="31">
        <v>0.25</v>
      </c>
      <c r="BK169" s="31">
        <v>0.25</v>
      </c>
    </row>
    <row r="170" spans="27:63" ht="22.5" x14ac:dyDescent="0.25">
      <c r="AA170" s="26" t="s">
        <v>119</v>
      </c>
      <c r="AB170" s="25">
        <v>0</v>
      </c>
      <c r="AC170" s="25">
        <v>0</v>
      </c>
      <c r="AD170" s="25"/>
      <c r="AE170" s="25"/>
      <c r="AF170" s="25"/>
      <c r="AG170" s="121"/>
      <c r="AH170" s="31">
        <v>0.2</v>
      </c>
      <c r="AI170" s="31">
        <v>0.17</v>
      </c>
      <c r="AJ170" s="31"/>
      <c r="AK170" s="31"/>
      <c r="AL170" s="31">
        <v>1</v>
      </c>
      <c r="AM170" s="25">
        <v>0</v>
      </c>
      <c r="AN170" s="25"/>
      <c r="AO170" s="25"/>
      <c r="AP170" s="25"/>
      <c r="AY170" s="66" t="s">
        <v>153</v>
      </c>
      <c r="AZ170" s="31">
        <v>0.5</v>
      </c>
      <c r="BA170" s="31">
        <v>1</v>
      </c>
      <c r="BB170" s="31">
        <v>0.25</v>
      </c>
      <c r="BC170" s="31">
        <v>0.25</v>
      </c>
      <c r="BD170" s="31">
        <v>0.25</v>
      </c>
      <c r="BE170" s="31">
        <v>0.25</v>
      </c>
      <c r="BF170" s="31">
        <v>0.5</v>
      </c>
      <c r="BG170" s="31">
        <v>0.5</v>
      </c>
      <c r="BH170" s="31">
        <v>0.5</v>
      </c>
      <c r="BI170" s="31">
        <v>0.25</v>
      </c>
      <c r="BJ170" s="31">
        <v>0.25</v>
      </c>
      <c r="BK170" s="31">
        <v>0.25</v>
      </c>
    </row>
    <row r="171" spans="27:63" x14ac:dyDescent="0.25">
      <c r="AY171" s="66" t="s">
        <v>154</v>
      </c>
      <c r="AZ171" s="31">
        <v>0.5</v>
      </c>
      <c r="BA171" s="31">
        <v>0.25</v>
      </c>
      <c r="BB171" s="31">
        <v>1</v>
      </c>
      <c r="BC171" s="31">
        <v>0.25</v>
      </c>
      <c r="BD171" s="31">
        <v>0.25</v>
      </c>
      <c r="BE171" s="31">
        <v>0.25</v>
      </c>
      <c r="BF171" s="31">
        <v>0.25</v>
      </c>
      <c r="BG171" s="31">
        <v>0.5</v>
      </c>
      <c r="BH171" s="31">
        <v>0.5</v>
      </c>
      <c r="BI171" s="31">
        <v>0.25</v>
      </c>
      <c r="BJ171" s="31">
        <v>0.5</v>
      </c>
      <c r="BK171" s="31">
        <v>0.25</v>
      </c>
    </row>
    <row r="172" spans="27:63" x14ac:dyDescent="0.25">
      <c r="AY172" s="66" t="s">
        <v>155</v>
      </c>
      <c r="AZ172" s="31">
        <v>0.25</v>
      </c>
      <c r="BA172" s="31">
        <v>0.25</v>
      </c>
      <c r="BB172" s="31">
        <v>0.25</v>
      </c>
      <c r="BC172" s="31">
        <v>1</v>
      </c>
      <c r="BD172" s="31">
        <v>0.25</v>
      </c>
      <c r="BE172" s="31">
        <v>0.25</v>
      </c>
      <c r="BF172" s="31">
        <v>0.25</v>
      </c>
      <c r="BG172" s="31">
        <v>0.5</v>
      </c>
      <c r="BH172" s="31">
        <v>0.5</v>
      </c>
      <c r="BI172" s="31">
        <v>0.25</v>
      </c>
      <c r="BJ172" s="31">
        <v>0.5</v>
      </c>
      <c r="BK172" s="31">
        <v>0.5</v>
      </c>
    </row>
    <row r="173" spans="27:63" ht="33.75" x14ac:dyDescent="0.25">
      <c r="AA173" s="26" t="s">
        <v>106</v>
      </c>
      <c r="AB173" s="98" t="s">
        <v>120</v>
      </c>
      <c r="AC173" s="100" t="s">
        <v>121</v>
      </c>
      <c r="AD173" s="99" t="s">
        <v>122</v>
      </c>
      <c r="AE173" s="102" t="s">
        <v>123</v>
      </c>
      <c r="AF173" s="98" t="s">
        <v>124</v>
      </c>
      <c r="AG173" s="97" t="s">
        <v>125</v>
      </c>
      <c r="AH173" s="99" t="s">
        <v>126</v>
      </c>
      <c r="AI173" s="105" t="s">
        <v>127</v>
      </c>
      <c r="AY173" s="66" t="s">
        <v>156</v>
      </c>
      <c r="AZ173" s="31">
        <v>0.5</v>
      </c>
      <c r="BA173" s="31">
        <v>0.25</v>
      </c>
      <c r="BB173" s="31">
        <v>0.25</v>
      </c>
      <c r="BC173" s="31">
        <v>0.25</v>
      </c>
      <c r="BD173" s="31">
        <v>1</v>
      </c>
      <c r="BE173" s="31">
        <v>0.5</v>
      </c>
      <c r="BF173" s="31">
        <v>0.5</v>
      </c>
      <c r="BG173" s="31">
        <v>0.25</v>
      </c>
      <c r="BH173" s="31">
        <v>0.5</v>
      </c>
      <c r="BI173" s="31">
        <v>0.5</v>
      </c>
      <c r="BJ173" s="31">
        <v>0.25</v>
      </c>
      <c r="BK173" s="31">
        <v>0.25</v>
      </c>
    </row>
    <row r="174" spans="27:63" x14ac:dyDescent="0.25">
      <c r="AA174" s="96" t="s">
        <v>107</v>
      </c>
      <c r="AB174" s="96"/>
      <c r="AC174" s="96"/>
      <c r="AD174" s="96">
        <v>0</v>
      </c>
      <c r="AE174" s="96" t="s">
        <v>108</v>
      </c>
      <c r="AF174" s="96"/>
      <c r="AG174" s="96"/>
      <c r="AH174" s="96">
        <v>0</v>
      </c>
      <c r="AI174" s="103" t="s">
        <v>108</v>
      </c>
      <c r="AY174" s="66" t="s">
        <v>157</v>
      </c>
      <c r="AZ174" s="31">
        <v>0.25</v>
      </c>
      <c r="BA174" s="31">
        <v>0.25</v>
      </c>
      <c r="BB174" s="31">
        <v>0.25</v>
      </c>
      <c r="BC174" s="31">
        <v>0.25</v>
      </c>
      <c r="BD174" s="31">
        <v>0.5</v>
      </c>
      <c r="BE174" s="31">
        <v>1</v>
      </c>
      <c r="BF174" s="31">
        <v>0.5</v>
      </c>
      <c r="BG174" s="31">
        <v>0.25</v>
      </c>
      <c r="BH174" s="31">
        <v>0.5</v>
      </c>
      <c r="BI174" s="31">
        <v>0.5</v>
      </c>
      <c r="BJ174" s="31">
        <v>0.25</v>
      </c>
      <c r="BK174" s="31">
        <v>0.25</v>
      </c>
    </row>
    <row r="175" spans="27:63" x14ac:dyDescent="0.25">
      <c r="AA175" s="96" t="s">
        <v>109</v>
      </c>
      <c r="AB175" s="107">
        <f>AB6*(1-60%)</f>
        <v>14000000</v>
      </c>
      <c r="AC175" s="108">
        <f>AB6*(1-15%)</f>
        <v>29750000</v>
      </c>
      <c r="AD175" s="106">
        <f>AD20</f>
        <v>14000000</v>
      </c>
      <c r="AE175" s="108">
        <f>AX52</f>
        <v>29750000</v>
      </c>
      <c r="AF175" s="96"/>
      <c r="AG175" s="96"/>
      <c r="AH175" s="107">
        <f>AB175*2/12</f>
        <v>2333333.3333333335</v>
      </c>
      <c r="AI175" s="106">
        <f>AC175*2/12</f>
        <v>4958333.333333333</v>
      </c>
      <c r="AY175" s="66" t="s">
        <v>158</v>
      </c>
      <c r="AZ175" s="31">
        <v>0.5</v>
      </c>
      <c r="BA175" s="31">
        <v>0.5</v>
      </c>
      <c r="BB175" s="31">
        <v>0.25</v>
      </c>
      <c r="BC175" s="31">
        <v>0.25</v>
      </c>
      <c r="BD175" s="31">
        <v>0.5</v>
      </c>
      <c r="BE175" s="31">
        <v>0.5</v>
      </c>
      <c r="BF175" s="31">
        <v>1</v>
      </c>
      <c r="BG175" s="31">
        <v>0.25</v>
      </c>
      <c r="BH175" s="31">
        <v>0.5</v>
      </c>
      <c r="BI175" s="31">
        <v>0.5</v>
      </c>
      <c r="BJ175" s="31">
        <v>0.25</v>
      </c>
      <c r="BK175" s="31">
        <v>0.25</v>
      </c>
    </row>
    <row r="176" spans="27:63" ht="22.5" x14ac:dyDescent="0.25">
      <c r="AA176" s="96" t="s">
        <v>110</v>
      </c>
      <c r="AB176" s="96"/>
      <c r="AC176" s="96"/>
      <c r="AD176" s="96">
        <v>0</v>
      </c>
      <c r="AE176" s="96" t="s">
        <v>108</v>
      </c>
      <c r="AF176" s="96"/>
      <c r="AG176" s="96"/>
      <c r="AH176" s="96">
        <v>0</v>
      </c>
      <c r="AI176" s="103" t="s">
        <v>108</v>
      </c>
      <c r="AY176" s="66" t="s">
        <v>159</v>
      </c>
      <c r="AZ176" s="31">
        <v>0.25</v>
      </c>
      <c r="BA176" s="31">
        <v>0.5</v>
      </c>
      <c r="BB176" s="31">
        <v>0.5</v>
      </c>
      <c r="BC176" s="31">
        <v>0.5</v>
      </c>
      <c r="BD176" s="31">
        <v>0.25</v>
      </c>
      <c r="BE176" s="31">
        <v>0.25</v>
      </c>
      <c r="BF176" s="31">
        <v>0.25</v>
      </c>
      <c r="BG176" s="31">
        <v>1</v>
      </c>
      <c r="BH176" s="31">
        <v>0.5</v>
      </c>
      <c r="BI176" s="31">
        <v>0.25</v>
      </c>
      <c r="BJ176" s="31">
        <v>0.25</v>
      </c>
      <c r="BK176" s="31">
        <v>0.5</v>
      </c>
    </row>
    <row r="177" spans="27:63" ht="22.5" x14ac:dyDescent="0.25">
      <c r="AA177" s="96" t="s">
        <v>111</v>
      </c>
      <c r="AB177" s="96"/>
      <c r="AC177" s="96"/>
      <c r="AD177" s="96">
        <v>0</v>
      </c>
      <c r="AE177" s="96" t="s">
        <v>108</v>
      </c>
      <c r="AF177" s="96"/>
      <c r="AG177" s="96"/>
      <c r="AH177" s="96">
        <v>0</v>
      </c>
      <c r="AI177" s="103" t="s">
        <v>108</v>
      </c>
      <c r="AY177" s="66" t="s">
        <v>160</v>
      </c>
      <c r="AZ177" s="31">
        <v>0.5</v>
      </c>
      <c r="BA177" s="31">
        <v>0.5</v>
      </c>
      <c r="BB177" s="31">
        <v>0.5</v>
      </c>
      <c r="BC177" s="31">
        <v>0.5</v>
      </c>
      <c r="BD177" s="31">
        <v>0.5</v>
      </c>
      <c r="BE177" s="31">
        <v>0.5</v>
      </c>
      <c r="BF177" s="31">
        <v>0.5</v>
      </c>
      <c r="BG177" s="31">
        <v>0.5</v>
      </c>
      <c r="BH177" s="31">
        <v>1</v>
      </c>
      <c r="BI177" s="31">
        <v>0.25</v>
      </c>
      <c r="BJ177" s="31">
        <v>0.5</v>
      </c>
      <c r="BK177" s="31">
        <v>0.25</v>
      </c>
    </row>
    <row r="178" spans="27:63" ht="22.5" x14ac:dyDescent="0.25">
      <c r="AA178" s="96" t="s">
        <v>112</v>
      </c>
      <c r="AB178" s="96"/>
      <c r="AC178" s="96"/>
      <c r="AD178" s="96">
        <v>0</v>
      </c>
      <c r="AE178" s="96" t="s">
        <v>108</v>
      </c>
      <c r="AF178" s="96"/>
      <c r="AG178" s="96"/>
      <c r="AH178" s="96">
        <v>0</v>
      </c>
      <c r="AI178" s="103" t="s">
        <v>108</v>
      </c>
      <c r="AY178" s="66" t="s">
        <v>161</v>
      </c>
      <c r="AZ178" s="31">
        <v>0.25</v>
      </c>
      <c r="BA178" s="31">
        <v>0.25</v>
      </c>
      <c r="BB178" s="31">
        <v>0.25</v>
      </c>
      <c r="BC178" s="31">
        <v>0.25</v>
      </c>
      <c r="BD178" s="31">
        <v>0.5</v>
      </c>
      <c r="BE178" s="31">
        <v>0.5</v>
      </c>
      <c r="BF178" s="31">
        <v>0.5</v>
      </c>
      <c r="BG178" s="31">
        <v>0.25</v>
      </c>
      <c r="BH178" s="31">
        <v>0.25</v>
      </c>
      <c r="BI178" s="31">
        <v>1</v>
      </c>
      <c r="BJ178" s="31">
        <v>0.25</v>
      </c>
      <c r="BK178" s="31">
        <v>0.25</v>
      </c>
    </row>
    <row r="179" spans="27:63" ht="22.5" x14ac:dyDescent="0.25">
      <c r="AA179" s="96" t="s">
        <v>113</v>
      </c>
      <c r="AB179" s="96"/>
      <c r="AC179" s="96"/>
      <c r="AD179" s="96">
        <v>0</v>
      </c>
      <c r="AE179" s="96" t="s">
        <v>108</v>
      </c>
      <c r="AF179" s="96"/>
      <c r="AG179" s="96"/>
      <c r="AH179" s="96">
        <v>0</v>
      </c>
      <c r="AI179" s="103" t="s">
        <v>108</v>
      </c>
      <c r="AY179" s="66" t="s">
        <v>162</v>
      </c>
      <c r="AZ179" s="31">
        <v>0.25</v>
      </c>
      <c r="BA179" s="31">
        <v>0.25</v>
      </c>
      <c r="BB179" s="31">
        <v>0.5</v>
      </c>
      <c r="BC179" s="31">
        <v>0.5</v>
      </c>
      <c r="BD179" s="31">
        <v>0.25</v>
      </c>
      <c r="BE179" s="31">
        <v>0.25</v>
      </c>
      <c r="BF179" s="31">
        <v>0.25</v>
      </c>
      <c r="BG179" s="31">
        <v>0.25</v>
      </c>
      <c r="BH179" s="31">
        <v>0.5</v>
      </c>
      <c r="BI179" s="31">
        <v>0.25</v>
      </c>
      <c r="BJ179" s="31">
        <v>1</v>
      </c>
      <c r="BK179" s="31">
        <v>0.25</v>
      </c>
    </row>
    <row r="180" spans="27:63" ht="22.5" x14ac:dyDescent="0.25">
      <c r="AA180" s="96" t="s">
        <v>114</v>
      </c>
      <c r="AB180" s="96"/>
      <c r="AC180" s="96"/>
      <c r="AD180" s="96">
        <v>0</v>
      </c>
      <c r="AE180" s="96" t="s">
        <v>108</v>
      </c>
      <c r="AF180" s="96"/>
      <c r="AG180" s="96"/>
      <c r="AH180" s="96">
        <v>0</v>
      </c>
      <c r="AI180" s="103" t="s">
        <v>108</v>
      </c>
      <c r="AY180" s="66" t="s">
        <v>163</v>
      </c>
      <c r="AZ180" s="31">
        <v>0.25</v>
      </c>
      <c r="BA180" s="31">
        <v>0.25</v>
      </c>
      <c r="BB180" s="31">
        <v>0.25</v>
      </c>
      <c r="BC180" s="31">
        <v>0.5</v>
      </c>
      <c r="BD180" s="31">
        <v>0.25</v>
      </c>
      <c r="BE180" s="31">
        <v>0.25</v>
      </c>
      <c r="BF180" s="31">
        <v>0.25</v>
      </c>
      <c r="BG180" s="31">
        <v>0.5</v>
      </c>
      <c r="BH180" s="31">
        <v>0.25</v>
      </c>
      <c r="BI180" s="31">
        <v>0.25</v>
      </c>
      <c r="BJ180" s="31">
        <v>0.25</v>
      </c>
      <c r="BK180" s="31">
        <v>1</v>
      </c>
    </row>
    <row r="181" spans="27:63" x14ac:dyDescent="0.25">
      <c r="AA181" s="96" t="s">
        <v>115</v>
      </c>
      <c r="AB181" s="96"/>
      <c r="AC181" s="96"/>
      <c r="AD181" s="96">
        <v>0</v>
      </c>
      <c r="AE181" s="96" t="s">
        <v>108</v>
      </c>
      <c r="AF181" s="96"/>
      <c r="AG181" s="96"/>
      <c r="AH181" s="96">
        <v>0</v>
      </c>
      <c r="AI181" s="103" t="s">
        <v>108</v>
      </c>
    </row>
    <row r="182" spans="27:63" x14ac:dyDescent="0.25">
      <c r="AA182" s="96" t="s">
        <v>116</v>
      </c>
      <c r="AB182" s="96"/>
      <c r="AC182" s="96"/>
      <c r="AD182" s="96"/>
      <c r="AE182" s="96"/>
      <c r="AF182" s="96"/>
      <c r="AG182" s="96"/>
      <c r="AH182" s="96"/>
      <c r="AI182" s="103"/>
    </row>
    <row r="183" spans="27:63" ht="22.5" x14ac:dyDescent="0.25">
      <c r="AA183" s="96" t="s">
        <v>117</v>
      </c>
      <c r="AB183" s="96"/>
      <c r="AC183" s="96"/>
      <c r="AD183" s="96">
        <v>0</v>
      </c>
      <c r="AE183" s="96" t="s">
        <v>108</v>
      </c>
      <c r="AF183" s="96"/>
      <c r="AG183" s="96"/>
      <c r="AH183" s="96">
        <v>0</v>
      </c>
      <c r="AI183" s="103" t="s">
        <v>108</v>
      </c>
    </row>
    <row r="184" spans="27:63" ht="22.5" x14ac:dyDescent="0.25">
      <c r="AA184" s="96" t="s">
        <v>118</v>
      </c>
      <c r="AB184" s="96"/>
      <c r="AC184" s="96"/>
      <c r="AD184" s="96">
        <v>0</v>
      </c>
      <c r="AE184" s="96" t="s">
        <v>108</v>
      </c>
      <c r="AF184" s="96"/>
      <c r="AG184" s="96"/>
      <c r="AH184" s="96">
        <v>0</v>
      </c>
      <c r="AI184" s="101" t="s">
        <v>108</v>
      </c>
    </row>
    <row r="185" spans="27:63" ht="22.5" x14ac:dyDescent="0.25">
      <c r="AA185" s="96" t="s">
        <v>119</v>
      </c>
      <c r="AB185" s="96"/>
      <c r="AC185" s="96"/>
      <c r="AD185" s="96">
        <v>0</v>
      </c>
      <c r="AE185" s="96" t="s">
        <v>108</v>
      </c>
      <c r="AF185" s="96"/>
      <c r="AG185" s="96"/>
      <c r="AH185" s="96">
        <v>0</v>
      </c>
      <c r="AI185" s="104" t="s">
        <v>108</v>
      </c>
    </row>
  </sheetData>
  <mergeCells count="24">
    <mergeCell ref="Z1:AB1"/>
    <mergeCell ref="A33:C33"/>
    <mergeCell ref="A53:B53"/>
    <mergeCell ref="AX74:BD74"/>
    <mergeCell ref="AW62:AW69"/>
    <mergeCell ref="AW70:AW73"/>
    <mergeCell ref="A27:A28"/>
    <mergeCell ref="A25:A26"/>
    <mergeCell ref="A23:A24"/>
    <mergeCell ref="AF25:AG26"/>
    <mergeCell ref="AJ25:AK26"/>
    <mergeCell ref="AH25:AI26"/>
    <mergeCell ref="AF27:AG28"/>
    <mergeCell ref="AH27:AI28"/>
    <mergeCell ref="AJ27:AK28"/>
    <mergeCell ref="Z33:AB33"/>
    <mergeCell ref="BB58:BM58"/>
    <mergeCell ref="AL103:AQ103"/>
    <mergeCell ref="AN101:AO101"/>
    <mergeCell ref="Z117:AB117"/>
    <mergeCell ref="BG62:BG69"/>
    <mergeCell ref="BG70:BG73"/>
    <mergeCell ref="AZ70:AZ73"/>
    <mergeCell ref="AZ62:AZ69"/>
  </mergeCells>
  <conditionalFormatting sqref="H65:I65 T65:V65 Z66:AE66">
    <cfRule type="cellIs" dxfId="52" priority="78" operator="equal">
      <formula>"-"</formula>
    </cfRule>
  </conditionalFormatting>
  <conditionalFormatting sqref="H65:I65">
    <cfRule type="cellIs" dxfId="51" priority="77" operator="equal">
      <formula>"-"</formula>
    </cfRule>
  </conditionalFormatting>
  <conditionalFormatting sqref="AG6:AU20 AG159:AG168 AB159:AD170 AF169:AG170 AM169:AO170 AM159:AP168">
    <cfRule type="cellIs" dxfId="50" priority="57" operator="equal">
      <formula>0</formula>
    </cfRule>
  </conditionalFormatting>
  <conditionalFormatting sqref="B3:P17">
    <cfRule type="cellIs" dxfId="49" priority="72" operator="equal">
      <formula>0</formula>
    </cfRule>
  </conditionalFormatting>
  <conditionalFormatting sqref="B37:P51">
    <cfRule type="cellIs" dxfId="48" priority="71" operator="equal">
      <formula>0</formula>
    </cfRule>
  </conditionalFormatting>
  <conditionalFormatting sqref="U37:U51 S37:S51">
    <cfRule type="cellIs" dxfId="47" priority="70" operator="equal">
      <formula>0</formula>
    </cfRule>
  </conditionalFormatting>
  <conditionalFormatting sqref="T37:T51">
    <cfRule type="cellIs" dxfId="46" priority="69" operator="equal">
      <formula>0</formula>
    </cfRule>
  </conditionalFormatting>
  <conditionalFormatting sqref="S3:S17">
    <cfRule type="cellIs" dxfId="45" priority="68" operator="equal">
      <formula>0</formula>
    </cfRule>
  </conditionalFormatting>
  <conditionalFormatting sqref="T3:U17">
    <cfRule type="cellIs" dxfId="44" priority="67" operator="equal">
      <formula>0</formula>
    </cfRule>
  </conditionalFormatting>
  <conditionalFormatting sqref="B57:B71 D57:D71">
    <cfRule type="cellIs" dxfId="43" priority="65" operator="equal">
      <formula>0</formula>
    </cfRule>
  </conditionalFormatting>
  <conditionalFormatting sqref="C57:C71">
    <cfRule type="cellIs" dxfId="42" priority="64" operator="equal">
      <formula>0</formula>
    </cfRule>
  </conditionalFormatting>
  <conditionalFormatting sqref="V37:V51">
    <cfRule type="cellIs" dxfId="41" priority="63" operator="equal">
      <formula>0</formula>
    </cfRule>
  </conditionalFormatting>
  <conditionalFormatting sqref="E57:F71">
    <cfRule type="cellIs" dxfId="40" priority="62" operator="equal">
      <formula>0</formula>
    </cfRule>
  </conditionalFormatting>
  <conditionalFormatting sqref="G57:G71">
    <cfRule type="cellIs" dxfId="39" priority="61" operator="equal">
      <formula>0</formula>
    </cfRule>
  </conditionalFormatting>
  <conditionalFormatting sqref="K57:K71">
    <cfRule type="cellIs" dxfId="38" priority="60" operator="equal">
      <formula>0</formula>
    </cfRule>
  </conditionalFormatting>
  <conditionalFormatting sqref="L57:L71">
    <cfRule type="cellIs" dxfId="37" priority="59" operator="equal">
      <formula>0</formula>
    </cfRule>
  </conditionalFormatting>
  <conditionalFormatting sqref="M57:M71">
    <cfRule type="cellIs" dxfId="36" priority="58" operator="equal">
      <formula>0</formula>
    </cfRule>
  </conditionalFormatting>
  <conditionalFormatting sqref="AA6:AD20">
    <cfRule type="cellIs" dxfId="35" priority="56" operator="equal">
      <formula>0</formula>
    </cfRule>
  </conditionalFormatting>
  <conditionalFormatting sqref="AF27 AH27 AJ27">
    <cfRule type="cellIs" dxfId="34" priority="41" operator="equal">
      <formula>0</formula>
    </cfRule>
  </conditionalFormatting>
  <conditionalFormatting sqref="AY38:AY52">
    <cfRule type="cellIs" dxfId="33" priority="36" operator="equal">
      <formula>0</formula>
    </cfRule>
  </conditionalFormatting>
  <conditionalFormatting sqref="AG59:AU73">
    <cfRule type="cellIs" dxfId="32" priority="35" operator="equal">
      <formula>0</formula>
    </cfRule>
  </conditionalFormatting>
  <conditionalFormatting sqref="AW6:AX20">
    <cfRule type="cellIs" dxfId="31" priority="52" operator="equal">
      <formula>0</formula>
    </cfRule>
  </conditionalFormatting>
  <conditionalFormatting sqref="AG23:AV23">
    <cfRule type="cellIs" dxfId="30" priority="43" operator="equal">
      <formula>0</formula>
    </cfRule>
  </conditionalFormatting>
  <conditionalFormatting sqref="AW38:AX52">
    <cfRule type="cellIs" dxfId="29" priority="37" operator="equal">
      <formula>0</formula>
    </cfRule>
  </conditionalFormatting>
  <conditionalFormatting sqref="AG38:AU52">
    <cfRule type="cellIs" dxfId="28" priority="38" operator="equal">
      <formula>0</formula>
    </cfRule>
  </conditionalFormatting>
  <conditionalFormatting sqref="AY73">
    <cfRule type="cellIs" dxfId="27" priority="33" operator="equal">
      <formula>0</formula>
    </cfRule>
  </conditionalFormatting>
  <conditionalFormatting sqref="AG79:AV79">
    <cfRule type="cellIs" dxfId="26" priority="32" operator="equal">
      <formula>0</formula>
    </cfRule>
  </conditionalFormatting>
  <conditionalFormatting sqref="BA6:BK20">
    <cfRule type="cellIs" dxfId="25" priority="31" operator="equal">
      <formula>0</formula>
    </cfRule>
  </conditionalFormatting>
  <conditionalFormatting sqref="BL6:BL20">
    <cfRule type="cellIs" dxfId="24" priority="27" operator="equal">
      <formula>0</formula>
    </cfRule>
  </conditionalFormatting>
  <conditionalFormatting sqref="AF85:AT99">
    <cfRule type="cellIs" dxfId="23" priority="29" operator="equal">
      <formula>0</formula>
    </cfRule>
  </conditionalFormatting>
  <conditionalFormatting sqref="AA174:AH185 AI175">
    <cfRule type="cellIs" dxfId="22" priority="26" operator="equal">
      <formula>0</formula>
    </cfRule>
  </conditionalFormatting>
  <conditionalFormatting sqref="AF185:AI185 AF174:AI183">
    <cfRule type="cellIs" dxfId="21" priority="25" operator="equal">
      <formula>0</formula>
    </cfRule>
  </conditionalFormatting>
  <conditionalFormatting sqref="AB127:AQ127">
    <cfRule type="cellIs" dxfId="20" priority="18" operator="equal">
      <formula>0</formula>
    </cfRule>
  </conditionalFormatting>
  <conditionalFormatting sqref="AB122:AQ124">
    <cfRule type="cellIs" dxfId="19" priority="22" operator="equal">
      <formula>0</formula>
    </cfRule>
  </conditionalFormatting>
  <conditionalFormatting sqref="AB138:AQ138">
    <cfRule type="cellIs" dxfId="18" priority="16" operator="equal">
      <formula>0</formula>
    </cfRule>
  </conditionalFormatting>
  <conditionalFormatting sqref="AB134:AP134">
    <cfRule type="cellIs" dxfId="17" priority="20" operator="equal">
      <formula>0</formula>
    </cfRule>
  </conditionalFormatting>
  <conditionalFormatting sqref="AB125:AQ126">
    <cfRule type="cellIs" dxfId="16" priority="19" operator="equal">
      <formula>0</formula>
    </cfRule>
  </conditionalFormatting>
  <conditionalFormatting sqref="AB136:AP137">
    <cfRule type="cellIs" dxfId="15" priority="17" operator="equal">
      <formula>0</formula>
    </cfRule>
  </conditionalFormatting>
  <conditionalFormatting sqref="AF159:AF168">
    <cfRule type="cellIs" dxfId="14" priority="15" operator="equal">
      <formula>0</formula>
    </cfRule>
  </conditionalFormatting>
  <conditionalFormatting sqref="AE169:AE170">
    <cfRule type="cellIs" dxfId="13" priority="14" operator="equal">
      <formula>0</formula>
    </cfRule>
  </conditionalFormatting>
  <conditionalFormatting sqref="AE159:AE168">
    <cfRule type="cellIs" dxfId="12" priority="13" operator="equal">
      <formula>0</formula>
    </cfRule>
  </conditionalFormatting>
  <conditionalFormatting sqref="AP169:AP170">
    <cfRule type="cellIs" dxfId="11" priority="12" operator="equal">
      <formula>0</formula>
    </cfRule>
  </conditionalFormatting>
  <conditionalFormatting sqref="AQ133:AQ137 AB133:AQ133">
    <cfRule type="cellIs" dxfId="10" priority="11" operator="equal">
      <formula>0</formula>
    </cfRule>
  </conditionalFormatting>
  <conditionalFormatting sqref="AB135:AP135">
    <cfRule type="cellIs" dxfId="9" priority="10" operator="equal">
      <formula>0</formula>
    </cfRule>
  </conditionalFormatting>
  <conditionalFormatting sqref="AH159:AL170">
    <cfRule type="cellIs" dxfId="8" priority="9" operator="equal">
      <formula>0</formula>
    </cfRule>
  </conditionalFormatting>
  <conditionalFormatting sqref="AR158:AR159">
    <cfRule type="cellIs" dxfId="7" priority="8" operator="equal">
      <formula>0</formula>
    </cfRule>
  </conditionalFormatting>
  <conditionalFormatting sqref="AZ169:BK180">
    <cfRule type="cellIs" dxfId="6" priority="6" operator="equal">
      <formula>0</formula>
    </cfRule>
  </conditionalFormatting>
  <conditionalFormatting sqref="AC148:AC150">
    <cfRule type="cellIs" dxfId="5" priority="4" operator="equal">
      <formula>0</formula>
    </cfRule>
  </conditionalFormatting>
  <conditionalFormatting sqref="AB157">
    <cfRule type="cellIs" dxfId="4" priority="7" operator="equal">
      <formula>0</formula>
    </cfRule>
  </conditionalFormatting>
  <conditionalFormatting sqref="AB142:AC145">
    <cfRule type="cellIs" dxfId="3" priority="3" operator="equal">
      <formula>0</formula>
    </cfRule>
  </conditionalFormatting>
  <conditionalFormatting sqref="AB148:AB150">
    <cfRule type="cellIs" dxfId="2" priority="5" operator="equal">
      <formula>0</formula>
    </cfRule>
  </conditionalFormatting>
  <conditionalFormatting sqref="AC157">
    <cfRule type="cellIs" dxfId="1" priority="2" operator="equal">
      <formula>0</formula>
    </cfRule>
  </conditionalFormatting>
  <conditionalFormatting sqref="AM140:AV142">
    <cfRule type="cellIs" dxfId="0" priority="1" operator="equal">
      <formula>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7AA80-53F8-4A9A-8D72-3F87E7370DF2}">
  <dimension ref="A1:B151"/>
  <sheetViews>
    <sheetView workbookViewId="0">
      <selection activeCell="B2" sqref="B2:B16"/>
    </sheetView>
  </sheetViews>
  <sheetFormatPr baseColWidth="10" defaultRowHeight="15" x14ac:dyDescent="0.25"/>
  <cols>
    <col min="2" max="2" width="19.85546875" bestFit="1" customWidth="1"/>
  </cols>
  <sheetData>
    <row r="1" spans="1:2" x14ac:dyDescent="0.25">
      <c r="B1" t="s">
        <v>10</v>
      </c>
    </row>
    <row r="2" spans="1:2" x14ac:dyDescent="0.25">
      <c r="A2">
        <v>1</v>
      </c>
      <c r="B2" s="10">
        <v>-6.1500000000000001E-3</v>
      </c>
    </row>
    <row r="3" spans="1:2" x14ac:dyDescent="0.25">
      <c r="A3">
        <v>2</v>
      </c>
      <c r="B3" s="10">
        <v>-6.1500000000000001E-3</v>
      </c>
    </row>
    <row r="4" spans="1:2" x14ac:dyDescent="0.25">
      <c r="A4">
        <v>3</v>
      </c>
      <c r="B4" s="10">
        <v>-6.0499999999999998E-3</v>
      </c>
    </row>
    <row r="5" spans="1:2" x14ac:dyDescent="0.25">
      <c r="A5">
        <v>4</v>
      </c>
      <c r="B5" s="10">
        <v>-5.8500000000000002E-3</v>
      </c>
    </row>
    <row r="6" spans="1:2" x14ac:dyDescent="0.25">
      <c r="A6">
        <v>5</v>
      </c>
      <c r="B6" s="10">
        <v>-5.5500000000000002E-3</v>
      </c>
    </row>
    <row r="7" spans="1:2" x14ac:dyDescent="0.25">
      <c r="A7">
        <v>6</v>
      </c>
      <c r="B7" s="10">
        <v>-5.2599999999999999E-3</v>
      </c>
    </row>
    <row r="8" spans="1:2" x14ac:dyDescent="0.25">
      <c r="A8">
        <v>7</v>
      </c>
      <c r="B8" s="10">
        <v>-4.8599999999999997E-3</v>
      </c>
    </row>
    <row r="9" spans="1:2" x14ac:dyDescent="0.25">
      <c r="A9">
        <v>8</v>
      </c>
      <c r="B9" s="10">
        <v>-4.47E-3</v>
      </c>
    </row>
    <row r="10" spans="1:2" x14ac:dyDescent="0.25">
      <c r="A10">
        <v>9</v>
      </c>
      <c r="B10" s="10">
        <v>-3.9699999999999996E-3</v>
      </c>
    </row>
    <row r="11" spans="1:2" x14ac:dyDescent="0.25">
      <c r="A11">
        <v>10</v>
      </c>
      <c r="B11" s="10">
        <v>-3.5699999999999998E-3</v>
      </c>
    </row>
    <row r="12" spans="1:2" x14ac:dyDescent="0.25">
      <c r="A12">
        <v>11</v>
      </c>
      <c r="B12" s="10">
        <v>-3.1199999999999999E-3</v>
      </c>
    </row>
    <row r="13" spans="1:2" x14ac:dyDescent="0.25">
      <c r="A13">
        <v>12</v>
      </c>
      <c r="B13" s="10">
        <v>-2.6800000000000001E-3</v>
      </c>
    </row>
    <row r="14" spans="1:2" x14ac:dyDescent="0.25">
      <c r="A14">
        <v>13</v>
      </c>
      <c r="B14" s="10">
        <v>-2.32E-3</v>
      </c>
    </row>
    <row r="15" spans="1:2" x14ac:dyDescent="0.25">
      <c r="A15">
        <v>14</v>
      </c>
      <c r="B15" s="10">
        <v>-1.97E-3</v>
      </c>
    </row>
    <row r="16" spans="1:2" x14ac:dyDescent="0.25">
      <c r="A16">
        <v>15</v>
      </c>
      <c r="B16" s="10">
        <v>-1.67E-3</v>
      </c>
    </row>
    <row r="17" spans="1:2" x14ac:dyDescent="0.25">
      <c r="A17">
        <v>16</v>
      </c>
      <c r="B17" s="10">
        <v>-1.5499999999999999E-3</v>
      </c>
    </row>
    <row r="18" spans="1:2" x14ac:dyDescent="0.25">
      <c r="A18">
        <v>17</v>
      </c>
      <c r="B18" s="10">
        <v>-1.5E-3</v>
      </c>
    </row>
    <row r="19" spans="1:2" x14ac:dyDescent="0.25">
      <c r="A19">
        <v>18</v>
      </c>
      <c r="B19" s="10">
        <v>-1.42E-3</v>
      </c>
    </row>
    <row r="20" spans="1:2" x14ac:dyDescent="0.25">
      <c r="A20">
        <v>19</v>
      </c>
      <c r="B20" s="10">
        <v>-1.23E-3</v>
      </c>
    </row>
    <row r="21" spans="1:2" x14ac:dyDescent="0.25">
      <c r="A21">
        <v>20</v>
      </c>
      <c r="B21" s="10">
        <v>-8.7000000000000001E-4</v>
      </c>
    </row>
    <row r="22" spans="1:2" x14ac:dyDescent="0.25">
      <c r="A22">
        <v>21</v>
      </c>
      <c r="B22" s="10">
        <v>-3.5E-4</v>
      </c>
    </row>
    <row r="23" spans="1:2" x14ac:dyDescent="0.25">
      <c r="A23">
        <v>22</v>
      </c>
      <c r="B23" s="10">
        <v>3.1E-4</v>
      </c>
    </row>
    <row r="24" spans="1:2" x14ac:dyDescent="0.25">
      <c r="A24">
        <v>23</v>
      </c>
      <c r="B24" s="10">
        <v>1.06E-3</v>
      </c>
    </row>
    <row r="25" spans="1:2" x14ac:dyDescent="0.25">
      <c r="A25">
        <v>24</v>
      </c>
      <c r="B25" s="10">
        <v>1.8600000000000001E-3</v>
      </c>
    </row>
    <row r="26" spans="1:2" x14ac:dyDescent="0.25">
      <c r="A26">
        <v>25</v>
      </c>
      <c r="B26" s="10">
        <v>2.6900000000000001E-3</v>
      </c>
    </row>
    <row r="27" spans="1:2" x14ac:dyDescent="0.25">
      <c r="A27">
        <v>26</v>
      </c>
      <c r="B27" s="10">
        <v>3.5400000000000002E-3</v>
      </c>
    </row>
    <row r="28" spans="1:2" x14ac:dyDescent="0.25">
      <c r="A28">
        <v>27</v>
      </c>
      <c r="B28" s="10">
        <v>4.3800000000000002E-3</v>
      </c>
    </row>
    <row r="29" spans="1:2" x14ac:dyDescent="0.25">
      <c r="A29">
        <v>28</v>
      </c>
      <c r="B29" s="10">
        <v>5.2199999999999998E-3</v>
      </c>
    </row>
    <row r="30" spans="1:2" x14ac:dyDescent="0.25">
      <c r="A30">
        <v>29</v>
      </c>
      <c r="B30" s="10">
        <v>6.0400000000000002E-3</v>
      </c>
    </row>
    <row r="31" spans="1:2" x14ac:dyDescent="0.25">
      <c r="A31">
        <v>30</v>
      </c>
      <c r="B31" s="10">
        <v>6.8500000000000002E-3</v>
      </c>
    </row>
    <row r="32" spans="1:2" x14ac:dyDescent="0.25">
      <c r="A32">
        <v>31</v>
      </c>
      <c r="B32" s="10">
        <v>7.6299999999999996E-3</v>
      </c>
    </row>
    <row r="33" spans="1:2" x14ac:dyDescent="0.25">
      <c r="A33">
        <v>32</v>
      </c>
      <c r="B33" s="10">
        <v>8.3899999999999999E-3</v>
      </c>
    </row>
    <row r="34" spans="1:2" x14ac:dyDescent="0.25">
      <c r="A34">
        <v>33</v>
      </c>
      <c r="B34" s="10">
        <v>9.1199999999999996E-3</v>
      </c>
    </row>
    <row r="35" spans="1:2" x14ac:dyDescent="0.25">
      <c r="A35">
        <v>34</v>
      </c>
      <c r="B35" s="10">
        <v>9.8300000000000002E-3</v>
      </c>
    </row>
    <row r="36" spans="1:2" x14ac:dyDescent="0.25">
      <c r="A36">
        <v>35</v>
      </c>
      <c r="B36" s="10">
        <v>1.051E-2</v>
      </c>
    </row>
    <row r="37" spans="1:2" x14ac:dyDescent="0.25">
      <c r="A37">
        <v>36</v>
      </c>
      <c r="B37" s="10">
        <v>1.1169999999999999E-2</v>
      </c>
    </row>
    <row r="38" spans="1:2" x14ac:dyDescent="0.25">
      <c r="A38">
        <v>37</v>
      </c>
      <c r="B38" s="10">
        <v>1.1809999999999999E-2</v>
      </c>
    </row>
    <row r="39" spans="1:2" x14ac:dyDescent="0.25">
      <c r="A39">
        <v>38</v>
      </c>
      <c r="B39" s="10">
        <v>1.242E-2</v>
      </c>
    </row>
    <row r="40" spans="1:2" x14ac:dyDescent="0.25">
      <c r="A40">
        <v>39</v>
      </c>
      <c r="B40" s="10">
        <v>1.2999999999999999E-2</v>
      </c>
    </row>
    <row r="41" spans="1:2" x14ac:dyDescent="0.25">
      <c r="A41">
        <v>40</v>
      </c>
      <c r="B41" s="10">
        <v>1.3559999999999999E-2</v>
      </c>
    </row>
    <row r="42" spans="1:2" x14ac:dyDescent="0.25">
      <c r="A42">
        <v>41</v>
      </c>
      <c r="B42" s="10">
        <v>1.4109999999999999E-2</v>
      </c>
    </row>
    <row r="43" spans="1:2" x14ac:dyDescent="0.25">
      <c r="A43">
        <v>42</v>
      </c>
      <c r="B43" s="10">
        <v>1.4630000000000001E-2</v>
      </c>
    </row>
    <row r="44" spans="1:2" x14ac:dyDescent="0.25">
      <c r="A44">
        <v>43</v>
      </c>
      <c r="B44" s="10">
        <v>1.5129999999999999E-2</v>
      </c>
    </row>
    <row r="45" spans="1:2" x14ac:dyDescent="0.25">
      <c r="A45">
        <v>44</v>
      </c>
      <c r="B45" s="10">
        <v>1.5610000000000001E-2</v>
      </c>
    </row>
    <row r="46" spans="1:2" x14ac:dyDescent="0.25">
      <c r="A46">
        <v>45</v>
      </c>
      <c r="B46" s="10">
        <v>1.6070000000000001E-2</v>
      </c>
    </row>
    <row r="47" spans="1:2" x14ac:dyDescent="0.25">
      <c r="A47">
        <v>46</v>
      </c>
      <c r="B47" s="10">
        <v>1.651E-2</v>
      </c>
    </row>
    <row r="48" spans="1:2" x14ac:dyDescent="0.25">
      <c r="A48">
        <v>47</v>
      </c>
      <c r="B48" s="10">
        <v>1.694E-2</v>
      </c>
    </row>
    <row r="49" spans="1:2" x14ac:dyDescent="0.25">
      <c r="A49">
        <v>48</v>
      </c>
      <c r="B49" s="10">
        <v>1.7350000000000001E-2</v>
      </c>
    </row>
    <row r="50" spans="1:2" x14ac:dyDescent="0.25">
      <c r="A50">
        <v>49</v>
      </c>
      <c r="B50" s="10">
        <v>1.7749999999999998E-2</v>
      </c>
    </row>
    <row r="51" spans="1:2" x14ac:dyDescent="0.25">
      <c r="A51">
        <v>50</v>
      </c>
      <c r="B51" s="10">
        <v>1.813E-2</v>
      </c>
    </row>
    <row r="52" spans="1:2" x14ac:dyDescent="0.25">
      <c r="A52">
        <v>51</v>
      </c>
      <c r="B52" s="10">
        <v>1.8499999999999999E-2</v>
      </c>
    </row>
    <row r="53" spans="1:2" x14ac:dyDescent="0.25">
      <c r="A53">
        <v>52</v>
      </c>
      <c r="B53" s="10">
        <v>1.8859999999999998E-2</v>
      </c>
    </row>
    <row r="54" spans="1:2" x14ac:dyDescent="0.25">
      <c r="A54">
        <v>53</v>
      </c>
      <c r="B54" s="10">
        <v>1.9199999999999998E-2</v>
      </c>
    </row>
    <row r="55" spans="1:2" x14ac:dyDescent="0.25">
      <c r="A55">
        <v>54</v>
      </c>
      <c r="B55" s="10">
        <v>1.9529999999999999E-2</v>
      </c>
    </row>
    <row r="56" spans="1:2" x14ac:dyDescent="0.25">
      <c r="A56">
        <v>55</v>
      </c>
      <c r="B56" s="10">
        <v>1.985E-2</v>
      </c>
    </row>
    <row r="57" spans="1:2" x14ac:dyDescent="0.25">
      <c r="A57">
        <v>56</v>
      </c>
      <c r="B57" s="10">
        <v>2.0160000000000001E-2</v>
      </c>
    </row>
    <row r="58" spans="1:2" x14ac:dyDescent="0.25">
      <c r="A58">
        <v>57</v>
      </c>
      <c r="B58" s="10">
        <v>2.0459999999999999E-2</v>
      </c>
    </row>
    <row r="59" spans="1:2" x14ac:dyDescent="0.25">
      <c r="A59">
        <v>58</v>
      </c>
      <c r="B59" s="10">
        <v>2.0750000000000001E-2</v>
      </c>
    </row>
    <row r="60" spans="1:2" x14ac:dyDescent="0.25">
      <c r="A60">
        <v>59</v>
      </c>
      <c r="B60" s="10">
        <v>2.103E-2</v>
      </c>
    </row>
    <row r="61" spans="1:2" x14ac:dyDescent="0.25">
      <c r="A61">
        <v>60</v>
      </c>
      <c r="B61" s="10">
        <v>2.1299999999999999E-2</v>
      </c>
    </row>
    <row r="62" spans="1:2" x14ac:dyDescent="0.25">
      <c r="A62">
        <v>61</v>
      </c>
      <c r="B62" s="10">
        <v>2.1559999999999999E-2</v>
      </c>
    </row>
    <row r="63" spans="1:2" x14ac:dyDescent="0.25">
      <c r="A63">
        <v>62</v>
      </c>
      <c r="B63" s="10">
        <v>2.1819999999999999E-2</v>
      </c>
    </row>
    <row r="64" spans="1:2" x14ac:dyDescent="0.25">
      <c r="A64">
        <v>63</v>
      </c>
      <c r="B64" s="10">
        <v>2.206E-2</v>
      </c>
    </row>
    <row r="65" spans="1:2" x14ac:dyDescent="0.25">
      <c r="A65">
        <v>64</v>
      </c>
      <c r="B65" s="10">
        <v>2.23E-2</v>
      </c>
    </row>
    <row r="66" spans="1:2" x14ac:dyDescent="0.25">
      <c r="A66">
        <v>65</v>
      </c>
      <c r="B66" s="10">
        <v>2.2530000000000001E-2</v>
      </c>
    </row>
    <row r="67" spans="1:2" x14ac:dyDescent="0.25">
      <c r="A67">
        <v>66</v>
      </c>
      <c r="B67" s="10">
        <v>2.2759999999999999E-2</v>
      </c>
    </row>
    <row r="68" spans="1:2" x14ac:dyDescent="0.25">
      <c r="A68">
        <v>67</v>
      </c>
      <c r="B68" s="10">
        <v>2.2970000000000001E-2</v>
      </c>
    </row>
    <row r="69" spans="1:2" x14ac:dyDescent="0.25">
      <c r="A69">
        <v>68</v>
      </c>
      <c r="B69" s="10">
        <v>2.3189999999999999E-2</v>
      </c>
    </row>
    <row r="70" spans="1:2" x14ac:dyDescent="0.25">
      <c r="A70">
        <v>69</v>
      </c>
      <c r="B70" s="10">
        <v>2.3390000000000001E-2</v>
      </c>
    </row>
    <row r="71" spans="1:2" x14ac:dyDescent="0.25">
      <c r="A71">
        <v>70</v>
      </c>
      <c r="B71" s="10">
        <v>2.359E-2</v>
      </c>
    </row>
    <row r="72" spans="1:2" x14ac:dyDescent="0.25">
      <c r="A72">
        <v>71</v>
      </c>
      <c r="B72" s="10">
        <v>2.3789999999999999E-2</v>
      </c>
    </row>
    <row r="73" spans="1:2" x14ac:dyDescent="0.25">
      <c r="A73">
        <v>72</v>
      </c>
      <c r="B73" s="10">
        <v>2.3970000000000002E-2</v>
      </c>
    </row>
    <row r="74" spans="1:2" x14ac:dyDescent="0.25">
      <c r="A74">
        <v>73</v>
      </c>
      <c r="B74" s="10">
        <v>2.4160000000000001E-2</v>
      </c>
    </row>
    <row r="75" spans="1:2" x14ac:dyDescent="0.25">
      <c r="A75">
        <v>74</v>
      </c>
      <c r="B75" s="10">
        <v>2.4340000000000001E-2</v>
      </c>
    </row>
    <row r="76" spans="1:2" x14ac:dyDescent="0.25">
      <c r="A76">
        <v>75</v>
      </c>
      <c r="B76" s="10">
        <v>2.4510000000000001E-2</v>
      </c>
    </row>
    <row r="77" spans="1:2" x14ac:dyDescent="0.25">
      <c r="A77">
        <v>76</v>
      </c>
      <c r="B77" s="10">
        <v>2.4680000000000001E-2</v>
      </c>
    </row>
    <row r="78" spans="1:2" x14ac:dyDescent="0.25">
      <c r="A78">
        <v>77</v>
      </c>
      <c r="B78" s="10">
        <v>2.4850000000000001E-2</v>
      </c>
    </row>
    <row r="79" spans="1:2" x14ac:dyDescent="0.25">
      <c r="A79">
        <v>78</v>
      </c>
      <c r="B79" s="10">
        <v>2.5010000000000001E-2</v>
      </c>
    </row>
    <row r="80" spans="1:2" x14ac:dyDescent="0.25">
      <c r="A80">
        <v>79</v>
      </c>
      <c r="B80" s="10">
        <v>2.5159999999999998E-2</v>
      </c>
    </row>
    <row r="81" spans="1:2" x14ac:dyDescent="0.25">
      <c r="A81">
        <v>80</v>
      </c>
      <c r="B81" s="10">
        <v>2.5319999999999999E-2</v>
      </c>
    </row>
    <row r="82" spans="1:2" x14ac:dyDescent="0.25">
      <c r="A82">
        <v>81</v>
      </c>
      <c r="B82" s="10">
        <v>2.547E-2</v>
      </c>
    </row>
    <row r="83" spans="1:2" x14ac:dyDescent="0.25">
      <c r="A83">
        <v>82</v>
      </c>
      <c r="B83" s="10">
        <v>2.5610000000000001E-2</v>
      </c>
    </row>
    <row r="84" spans="1:2" x14ac:dyDescent="0.25">
      <c r="A84">
        <v>83</v>
      </c>
      <c r="B84" s="10">
        <v>2.5760000000000002E-2</v>
      </c>
    </row>
    <row r="85" spans="1:2" x14ac:dyDescent="0.25">
      <c r="A85">
        <v>84</v>
      </c>
      <c r="B85" s="10">
        <v>2.589E-2</v>
      </c>
    </row>
    <row r="86" spans="1:2" x14ac:dyDescent="0.25">
      <c r="A86">
        <v>85</v>
      </c>
      <c r="B86" s="10">
        <v>2.6030000000000001E-2</v>
      </c>
    </row>
    <row r="87" spans="1:2" x14ac:dyDescent="0.25">
      <c r="A87">
        <v>86</v>
      </c>
      <c r="B87" s="10">
        <v>2.6159999999999999E-2</v>
      </c>
    </row>
    <row r="88" spans="1:2" x14ac:dyDescent="0.25">
      <c r="A88">
        <v>87</v>
      </c>
      <c r="B88" s="10">
        <v>2.6290000000000001E-2</v>
      </c>
    </row>
    <row r="89" spans="1:2" x14ac:dyDescent="0.25">
      <c r="A89">
        <v>88</v>
      </c>
      <c r="B89" s="10">
        <v>2.6419999999999999E-2</v>
      </c>
    </row>
    <row r="90" spans="1:2" x14ac:dyDescent="0.25">
      <c r="A90">
        <v>89</v>
      </c>
      <c r="B90" s="10">
        <v>2.6540000000000001E-2</v>
      </c>
    </row>
    <row r="91" spans="1:2" x14ac:dyDescent="0.25">
      <c r="A91">
        <v>90</v>
      </c>
      <c r="B91" s="10">
        <v>2.666E-2</v>
      </c>
    </row>
    <row r="92" spans="1:2" x14ac:dyDescent="0.25">
      <c r="A92">
        <v>91</v>
      </c>
      <c r="B92" s="10">
        <v>2.6780000000000002E-2</v>
      </c>
    </row>
    <row r="93" spans="1:2" x14ac:dyDescent="0.25">
      <c r="A93">
        <v>92</v>
      </c>
      <c r="B93" s="10">
        <v>2.69E-2</v>
      </c>
    </row>
    <row r="94" spans="1:2" x14ac:dyDescent="0.25">
      <c r="A94">
        <v>93</v>
      </c>
      <c r="B94" s="10">
        <v>2.7009999999999999E-2</v>
      </c>
    </row>
    <row r="95" spans="1:2" x14ac:dyDescent="0.25">
      <c r="A95">
        <v>94</v>
      </c>
      <c r="B95" s="10">
        <v>2.7119999999999998E-2</v>
      </c>
    </row>
    <row r="96" spans="1:2" x14ac:dyDescent="0.25">
      <c r="A96">
        <v>95</v>
      </c>
      <c r="B96" s="10">
        <v>2.7230000000000001E-2</v>
      </c>
    </row>
    <row r="97" spans="1:2" x14ac:dyDescent="0.25">
      <c r="A97">
        <v>96</v>
      </c>
      <c r="B97" s="10">
        <v>2.734E-2</v>
      </c>
    </row>
    <row r="98" spans="1:2" x14ac:dyDescent="0.25">
      <c r="A98">
        <v>97</v>
      </c>
      <c r="B98" s="10">
        <v>2.7439999999999999E-2</v>
      </c>
    </row>
    <row r="99" spans="1:2" x14ac:dyDescent="0.25">
      <c r="A99">
        <v>98</v>
      </c>
      <c r="B99" s="10">
        <v>2.7539999999999999E-2</v>
      </c>
    </row>
    <row r="100" spans="1:2" x14ac:dyDescent="0.25">
      <c r="A100">
        <v>99</v>
      </c>
      <c r="B100" s="10">
        <v>2.7640000000000001E-2</v>
      </c>
    </row>
    <row r="101" spans="1:2" x14ac:dyDescent="0.25">
      <c r="A101">
        <v>100</v>
      </c>
      <c r="B101" s="10">
        <v>2.7740000000000001E-2</v>
      </c>
    </row>
    <row r="102" spans="1:2" x14ac:dyDescent="0.25">
      <c r="A102">
        <v>101</v>
      </c>
      <c r="B102" s="10">
        <v>2.784E-2</v>
      </c>
    </row>
    <row r="103" spans="1:2" x14ac:dyDescent="0.25">
      <c r="A103">
        <v>102</v>
      </c>
      <c r="B103" s="10">
        <v>2.793E-2</v>
      </c>
    </row>
    <row r="104" spans="1:2" x14ac:dyDescent="0.25">
      <c r="A104">
        <v>103</v>
      </c>
      <c r="B104" s="10">
        <v>2.802E-2</v>
      </c>
    </row>
    <row r="105" spans="1:2" x14ac:dyDescent="0.25">
      <c r="A105">
        <v>104</v>
      </c>
      <c r="B105" s="10">
        <v>2.8119999999999999E-2</v>
      </c>
    </row>
    <row r="106" spans="1:2" x14ac:dyDescent="0.25">
      <c r="A106">
        <v>105</v>
      </c>
      <c r="B106" s="10">
        <v>2.8199999999999999E-2</v>
      </c>
    </row>
    <row r="107" spans="1:2" x14ac:dyDescent="0.25">
      <c r="A107">
        <v>106</v>
      </c>
      <c r="B107" s="10">
        <v>2.8289999999999999E-2</v>
      </c>
    </row>
    <row r="108" spans="1:2" x14ac:dyDescent="0.25">
      <c r="A108">
        <v>107</v>
      </c>
      <c r="B108" s="10">
        <v>2.8379999999999999E-2</v>
      </c>
    </row>
    <row r="109" spans="1:2" x14ac:dyDescent="0.25">
      <c r="A109">
        <v>108</v>
      </c>
      <c r="B109" s="10">
        <v>2.8459999999999999E-2</v>
      </c>
    </row>
    <row r="110" spans="1:2" x14ac:dyDescent="0.25">
      <c r="A110">
        <v>109</v>
      </c>
      <c r="B110" s="10">
        <v>2.8539999999999999E-2</v>
      </c>
    </row>
    <row r="111" spans="1:2" x14ac:dyDescent="0.25">
      <c r="A111">
        <v>110</v>
      </c>
      <c r="B111" s="10">
        <v>2.8629999999999999E-2</v>
      </c>
    </row>
    <row r="112" spans="1:2" x14ac:dyDescent="0.25">
      <c r="A112">
        <v>111</v>
      </c>
      <c r="B112" s="10">
        <v>2.87E-2</v>
      </c>
    </row>
    <row r="113" spans="1:2" x14ac:dyDescent="0.25">
      <c r="A113">
        <v>112</v>
      </c>
      <c r="B113" s="10">
        <v>2.878E-2</v>
      </c>
    </row>
    <row r="114" spans="1:2" x14ac:dyDescent="0.25">
      <c r="A114">
        <v>113</v>
      </c>
      <c r="B114" s="10">
        <v>2.886E-2</v>
      </c>
    </row>
    <row r="115" spans="1:2" x14ac:dyDescent="0.25">
      <c r="A115">
        <v>114</v>
      </c>
      <c r="B115" s="10">
        <v>2.894E-2</v>
      </c>
    </row>
    <row r="116" spans="1:2" x14ac:dyDescent="0.25">
      <c r="A116">
        <v>115</v>
      </c>
      <c r="B116" s="10">
        <v>2.9010000000000001E-2</v>
      </c>
    </row>
    <row r="117" spans="1:2" x14ac:dyDescent="0.25">
      <c r="A117">
        <v>116</v>
      </c>
      <c r="B117" s="10">
        <v>2.9080000000000002E-2</v>
      </c>
    </row>
    <row r="118" spans="1:2" x14ac:dyDescent="0.25">
      <c r="A118">
        <v>117</v>
      </c>
      <c r="B118" s="10">
        <v>2.9149999999999999E-2</v>
      </c>
    </row>
    <row r="119" spans="1:2" x14ac:dyDescent="0.25">
      <c r="A119">
        <v>118</v>
      </c>
      <c r="B119" s="10">
        <v>2.9219999999999999E-2</v>
      </c>
    </row>
    <row r="120" spans="1:2" x14ac:dyDescent="0.25">
      <c r="A120">
        <v>119</v>
      </c>
      <c r="B120" s="10">
        <v>2.929E-2</v>
      </c>
    </row>
    <row r="121" spans="1:2" x14ac:dyDescent="0.25">
      <c r="A121">
        <v>120</v>
      </c>
      <c r="B121" s="10">
        <v>2.9360000000000001E-2</v>
      </c>
    </row>
    <row r="122" spans="1:2" x14ac:dyDescent="0.25">
      <c r="A122">
        <v>121</v>
      </c>
      <c r="B122" s="10">
        <v>2.9430000000000001E-2</v>
      </c>
    </row>
    <row r="123" spans="1:2" x14ac:dyDescent="0.25">
      <c r="A123">
        <v>122</v>
      </c>
      <c r="B123" s="10">
        <v>2.9489999999999999E-2</v>
      </c>
    </row>
    <row r="124" spans="1:2" x14ac:dyDescent="0.25">
      <c r="A124">
        <v>123</v>
      </c>
      <c r="B124" s="10">
        <v>2.9559999999999999E-2</v>
      </c>
    </row>
    <row r="125" spans="1:2" x14ac:dyDescent="0.25">
      <c r="A125">
        <v>124</v>
      </c>
      <c r="B125" s="10">
        <v>2.962E-2</v>
      </c>
    </row>
    <row r="126" spans="1:2" x14ac:dyDescent="0.25">
      <c r="A126">
        <v>125</v>
      </c>
      <c r="B126" s="10">
        <v>2.9690000000000001E-2</v>
      </c>
    </row>
    <row r="127" spans="1:2" x14ac:dyDescent="0.25">
      <c r="A127">
        <v>126</v>
      </c>
      <c r="B127" s="10">
        <v>2.9749999999999999E-2</v>
      </c>
    </row>
    <row r="128" spans="1:2" x14ac:dyDescent="0.25">
      <c r="A128">
        <v>127</v>
      </c>
      <c r="B128" s="10">
        <v>2.981E-2</v>
      </c>
    </row>
    <row r="129" spans="1:2" x14ac:dyDescent="0.25">
      <c r="A129">
        <v>128</v>
      </c>
      <c r="B129" s="10">
        <v>2.9870000000000001E-2</v>
      </c>
    </row>
    <row r="130" spans="1:2" x14ac:dyDescent="0.25">
      <c r="A130">
        <v>129</v>
      </c>
      <c r="B130" s="10">
        <v>2.9929999999999998E-2</v>
      </c>
    </row>
    <row r="131" spans="1:2" x14ac:dyDescent="0.25">
      <c r="A131">
        <v>130</v>
      </c>
      <c r="B131" s="10">
        <v>2.9989999999999999E-2</v>
      </c>
    </row>
    <row r="132" spans="1:2" x14ac:dyDescent="0.25">
      <c r="A132">
        <v>131</v>
      </c>
      <c r="B132" s="10">
        <v>3.0040000000000001E-2</v>
      </c>
    </row>
    <row r="133" spans="1:2" x14ac:dyDescent="0.25">
      <c r="A133">
        <v>132</v>
      </c>
      <c r="B133" s="10">
        <v>3.0099999999999998E-2</v>
      </c>
    </row>
    <row r="134" spans="1:2" x14ac:dyDescent="0.25">
      <c r="A134">
        <v>133</v>
      </c>
      <c r="B134" s="10">
        <v>3.015E-2</v>
      </c>
    </row>
    <row r="135" spans="1:2" x14ac:dyDescent="0.25">
      <c r="A135">
        <v>134</v>
      </c>
      <c r="B135" s="10">
        <v>3.0210000000000001E-2</v>
      </c>
    </row>
    <row r="136" spans="1:2" x14ac:dyDescent="0.25">
      <c r="A136">
        <v>135</v>
      </c>
      <c r="B136" s="10">
        <v>3.0259999999999999E-2</v>
      </c>
    </row>
    <row r="137" spans="1:2" x14ac:dyDescent="0.25">
      <c r="A137">
        <v>136</v>
      </c>
      <c r="B137" s="10">
        <v>3.032E-2</v>
      </c>
    </row>
    <row r="138" spans="1:2" x14ac:dyDescent="0.25">
      <c r="A138">
        <v>137</v>
      </c>
      <c r="B138" s="10">
        <v>3.0370000000000001E-2</v>
      </c>
    </row>
    <row r="139" spans="1:2" x14ac:dyDescent="0.25">
      <c r="A139">
        <v>138</v>
      </c>
      <c r="B139" s="10">
        <v>3.0419999999999999E-2</v>
      </c>
    </row>
    <row r="140" spans="1:2" x14ac:dyDescent="0.25">
      <c r="A140">
        <v>139</v>
      </c>
      <c r="B140" s="10">
        <v>3.0470000000000001E-2</v>
      </c>
    </row>
    <row r="141" spans="1:2" x14ac:dyDescent="0.25">
      <c r="A141">
        <v>140</v>
      </c>
      <c r="B141" s="10">
        <v>3.0519999999999999E-2</v>
      </c>
    </row>
    <row r="142" spans="1:2" x14ac:dyDescent="0.25">
      <c r="A142">
        <v>141</v>
      </c>
      <c r="B142" s="10">
        <v>3.057E-2</v>
      </c>
    </row>
    <row r="143" spans="1:2" x14ac:dyDescent="0.25">
      <c r="A143">
        <v>142</v>
      </c>
      <c r="B143" s="10">
        <v>3.0620000000000001E-2</v>
      </c>
    </row>
    <row r="144" spans="1:2" x14ac:dyDescent="0.25">
      <c r="A144">
        <v>143</v>
      </c>
      <c r="B144" s="10">
        <v>3.0669999999999999E-2</v>
      </c>
    </row>
    <row r="145" spans="1:2" x14ac:dyDescent="0.25">
      <c r="A145">
        <v>144</v>
      </c>
      <c r="B145" s="10">
        <v>3.0710000000000001E-2</v>
      </c>
    </row>
    <row r="146" spans="1:2" x14ac:dyDescent="0.25">
      <c r="A146">
        <v>145</v>
      </c>
      <c r="B146" s="10">
        <v>3.0759999999999999E-2</v>
      </c>
    </row>
    <row r="147" spans="1:2" x14ac:dyDescent="0.25">
      <c r="A147">
        <v>146</v>
      </c>
      <c r="B147" s="10">
        <v>3.0810000000000001E-2</v>
      </c>
    </row>
    <row r="148" spans="1:2" x14ac:dyDescent="0.25">
      <c r="A148">
        <v>147</v>
      </c>
      <c r="B148" s="10">
        <v>3.0849999999999999E-2</v>
      </c>
    </row>
    <row r="149" spans="1:2" x14ac:dyDescent="0.25">
      <c r="A149">
        <v>148</v>
      </c>
      <c r="B149" s="10">
        <v>3.09E-2</v>
      </c>
    </row>
    <row r="150" spans="1:2" x14ac:dyDescent="0.25">
      <c r="A150">
        <v>149</v>
      </c>
      <c r="B150" s="10">
        <v>3.0939999999999999E-2</v>
      </c>
    </row>
    <row r="151" spans="1:2" x14ac:dyDescent="0.25">
      <c r="A151">
        <v>150</v>
      </c>
      <c r="B151" s="10">
        <v>3.0980000000000001E-2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Enoncé</vt:lpstr>
      <vt:lpstr>Triangle</vt:lpstr>
      <vt:lpstr>Courbe des taux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Rachid</dc:creator>
  <cp:lastModifiedBy>Utilisateur Windows</cp:lastModifiedBy>
  <dcterms:created xsi:type="dcterms:W3CDTF">2015-06-05T18:19:34Z</dcterms:created>
  <dcterms:modified xsi:type="dcterms:W3CDTF">2021-05-24T10:16:53Z</dcterms:modified>
</cp:coreProperties>
</file>