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865" windowHeight="12240" tabRatio="291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213" i="1" l="1"/>
  <c r="J214" i="1"/>
  <c r="J215" i="1"/>
  <c r="J216" i="1"/>
  <c r="J217" i="1"/>
  <c r="J218" i="1"/>
  <c r="J219" i="1"/>
  <c r="J220" i="1"/>
  <c r="J221" i="1"/>
  <c r="J212" i="1"/>
  <c r="I213" i="1"/>
  <c r="I214" i="1"/>
  <c r="I215" i="1"/>
  <c r="I216" i="1"/>
  <c r="I217" i="1"/>
  <c r="I218" i="1"/>
  <c r="I219" i="1"/>
  <c r="I220" i="1"/>
  <c r="I221" i="1"/>
  <c r="I212" i="1"/>
  <c r="K209" i="1"/>
  <c r="K208" i="1"/>
  <c r="I208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187" i="1"/>
  <c r="A208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K94" i="1"/>
  <c r="K95" i="1"/>
  <c r="K96" i="1"/>
  <c r="K97" i="1"/>
  <c r="K98" i="1"/>
  <c r="K99" i="1"/>
  <c r="K100" i="1"/>
  <c r="K93" i="1"/>
  <c r="K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4" i="1"/>
  <c r="G93" i="1"/>
  <c r="G92" i="1"/>
  <c r="I92" i="1"/>
  <c r="J4" i="1" l="1"/>
  <c r="J5" i="1"/>
  <c r="J6" i="1"/>
  <c r="J7" i="1"/>
  <c r="J8" i="1"/>
  <c r="J9" i="1"/>
  <c r="J3" i="1"/>
  <c r="H188" i="1" l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G208" i="1"/>
  <c r="F208" i="1"/>
  <c r="E208" i="1"/>
  <c r="D208" i="1"/>
  <c r="C188" i="1"/>
  <c r="E188" i="1" s="1"/>
  <c r="C189" i="1"/>
  <c r="C190" i="1"/>
  <c r="C191" i="1"/>
  <c r="D191" i="1" s="1"/>
  <c r="C192" i="1"/>
  <c r="C193" i="1"/>
  <c r="C194" i="1"/>
  <c r="G194" i="1" s="1"/>
  <c r="C195" i="1"/>
  <c r="G195" i="1" s="1"/>
  <c r="C196" i="1"/>
  <c r="E196" i="1" s="1"/>
  <c r="C197" i="1"/>
  <c r="C198" i="1"/>
  <c r="C199" i="1"/>
  <c r="D199" i="1" s="1"/>
  <c r="C200" i="1"/>
  <c r="C201" i="1"/>
  <c r="C202" i="1"/>
  <c r="G202" i="1" s="1"/>
  <c r="C203" i="1"/>
  <c r="G203" i="1" s="1"/>
  <c r="C204" i="1"/>
  <c r="E204" i="1" s="1"/>
  <c r="C205" i="1"/>
  <c r="C206" i="1"/>
  <c r="C207" i="1"/>
  <c r="D207" i="1" s="1"/>
  <c r="G189" i="1"/>
  <c r="G190" i="1"/>
  <c r="G192" i="1"/>
  <c r="G193" i="1"/>
  <c r="G197" i="1"/>
  <c r="G198" i="1"/>
  <c r="G199" i="1"/>
  <c r="G200" i="1"/>
  <c r="G201" i="1"/>
  <c r="G205" i="1"/>
  <c r="G206" i="1"/>
  <c r="G187" i="1"/>
  <c r="E189" i="1"/>
  <c r="E190" i="1"/>
  <c r="E192" i="1"/>
  <c r="E193" i="1"/>
  <c r="E194" i="1"/>
  <c r="E195" i="1"/>
  <c r="E197" i="1"/>
  <c r="E198" i="1"/>
  <c r="E200" i="1"/>
  <c r="E201" i="1"/>
  <c r="E202" i="1"/>
  <c r="E203" i="1"/>
  <c r="E205" i="1"/>
  <c r="E206" i="1"/>
  <c r="E187" i="1"/>
  <c r="D189" i="1"/>
  <c r="D190" i="1"/>
  <c r="D192" i="1"/>
  <c r="D193" i="1"/>
  <c r="D197" i="1"/>
  <c r="D198" i="1"/>
  <c r="D200" i="1"/>
  <c r="D201" i="1"/>
  <c r="D205" i="1"/>
  <c r="D206" i="1"/>
  <c r="D187" i="1"/>
  <c r="C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87" i="1"/>
  <c r="G207" i="1" l="1"/>
  <c r="G191" i="1"/>
  <c r="D204" i="1"/>
  <c r="D188" i="1"/>
  <c r="D203" i="1"/>
  <c r="D195" i="1"/>
  <c r="D196" i="1"/>
  <c r="D202" i="1"/>
  <c r="D194" i="1"/>
  <c r="E207" i="1"/>
  <c r="E199" i="1"/>
  <c r="E191" i="1"/>
  <c r="G204" i="1"/>
  <c r="G196" i="1"/>
  <c r="G188" i="1"/>
  <c r="H187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G163" i="1"/>
  <c r="F163" i="1"/>
  <c r="E163" i="1"/>
  <c r="B163" i="1" l="1"/>
  <c r="B183" i="1"/>
  <c r="D183" i="1" s="1"/>
  <c r="B182" i="1"/>
  <c r="D182" i="1" s="1"/>
  <c r="B181" i="1"/>
  <c r="D181" i="1" s="1"/>
  <c r="D180" i="1"/>
  <c r="C180" i="1"/>
  <c r="B180" i="1"/>
  <c r="B179" i="1"/>
  <c r="D179" i="1" s="1"/>
  <c r="D178" i="1"/>
  <c r="B178" i="1"/>
  <c r="C178" i="1" s="1"/>
  <c r="B177" i="1"/>
  <c r="D177" i="1" s="1"/>
  <c r="B176" i="1"/>
  <c r="C176" i="1" s="1"/>
  <c r="B175" i="1"/>
  <c r="D175" i="1" s="1"/>
  <c r="B174" i="1"/>
  <c r="D174" i="1" s="1"/>
  <c r="B173" i="1"/>
  <c r="D173" i="1" s="1"/>
  <c r="B172" i="1"/>
  <c r="D172" i="1" s="1"/>
  <c r="B171" i="1"/>
  <c r="D171" i="1" s="1"/>
  <c r="D170" i="1"/>
  <c r="B170" i="1"/>
  <c r="C170" i="1" s="1"/>
  <c r="B169" i="1"/>
  <c r="D169" i="1" s="1"/>
  <c r="B168" i="1"/>
  <c r="C168" i="1" s="1"/>
  <c r="B167" i="1"/>
  <c r="D167" i="1" s="1"/>
  <c r="B166" i="1"/>
  <c r="C166" i="1" s="1"/>
  <c r="D165" i="1"/>
  <c r="B165" i="1"/>
  <c r="C165" i="1" s="1"/>
  <c r="B164" i="1"/>
  <c r="D164" i="1" s="1"/>
  <c r="D163" i="1"/>
  <c r="I93" i="1"/>
  <c r="J93" i="1"/>
  <c r="L93" i="1"/>
  <c r="I94" i="1"/>
  <c r="J94" i="1"/>
  <c r="L94" i="1"/>
  <c r="I95" i="1"/>
  <c r="J95" i="1"/>
  <c r="L95" i="1"/>
  <c r="I96" i="1"/>
  <c r="J96" i="1"/>
  <c r="L96" i="1"/>
  <c r="I97" i="1"/>
  <c r="J97" i="1"/>
  <c r="L97" i="1"/>
  <c r="I98" i="1"/>
  <c r="J98" i="1"/>
  <c r="L98" i="1"/>
  <c r="I99" i="1"/>
  <c r="J99" i="1"/>
  <c r="L99" i="1"/>
  <c r="I100" i="1"/>
  <c r="J100" i="1"/>
  <c r="L100" i="1"/>
  <c r="L92" i="1"/>
  <c r="J92" i="1"/>
  <c r="F92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D166" i="1" l="1"/>
  <c r="C164" i="1"/>
  <c r="C172" i="1"/>
  <c r="C177" i="1"/>
  <c r="C169" i="1"/>
  <c r="C181" i="1"/>
  <c r="C173" i="1"/>
  <c r="C163" i="1"/>
  <c r="D168" i="1"/>
  <c r="C171" i="1"/>
  <c r="D176" i="1"/>
  <c r="C179" i="1"/>
  <c r="C174" i="1"/>
  <c r="C182" i="1"/>
  <c r="C167" i="1"/>
  <c r="C175" i="1"/>
  <c r="C183" i="1"/>
  <c r="C83" i="1" l="1"/>
  <c r="C84" i="1"/>
  <c r="C85" i="1"/>
  <c r="C86" i="1"/>
  <c r="C87" i="1"/>
  <c r="C88" i="1"/>
  <c r="C82" i="1"/>
  <c r="H74" i="1"/>
  <c r="H75" i="1"/>
  <c r="H76" i="1"/>
  <c r="H77" i="1"/>
  <c r="H78" i="1"/>
  <c r="H79" i="1"/>
  <c r="H73" i="1"/>
  <c r="G75" i="1"/>
  <c r="G77" i="1"/>
  <c r="G78" i="1"/>
  <c r="D74" i="1"/>
  <c r="B83" i="1" s="1"/>
  <c r="D75" i="1"/>
  <c r="B84" i="1" s="1"/>
  <c r="E84" i="1" s="1"/>
  <c r="D76" i="1"/>
  <c r="G76" i="1" s="1"/>
  <c r="D77" i="1"/>
  <c r="B86" i="1" s="1"/>
  <c r="E86" i="1" s="1"/>
  <c r="D78" i="1"/>
  <c r="B87" i="1" s="1"/>
  <c r="E87" i="1" s="1"/>
  <c r="D79" i="1"/>
  <c r="B88" i="1" s="1"/>
  <c r="E88" i="1" s="1"/>
  <c r="D73" i="1"/>
  <c r="G73" i="1" s="1"/>
  <c r="G74" i="1" l="1"/>
  <c r="G79" i="1"/>
  <c r="B82" i="1"/>
  <c r="E82" i="1" s="1"/>
  <c r="B85" i="1"/>
  <c r="E85" i="1" s="1"/>
  <c r="H66" i="1"/>
  <c r="H67" i="1"/>
  <c r="H68" i="1"/>
  <c r="G64" i="1"/>
  <c r="G65" i="1"/>
  <c r="G66" i="1"/>
  <c r="G67" i="1"/>
  <c r="G68" i="1"/>
  <c r="G69" i="1"/>
  <c r="G63" i="1"/>
  <c r="F64" i="1"/>
  <c r="H64" i="1" s="1"/>
  <c r="F65" i="1"/>
  <c r="H65" i="1" s="1"/>
  <c r="F66" i="1"/>
  <c r="F67" i="1"/>
  <c r="F68" i="1"/>
  <c r="F69" i="1"/>
  <c r="H69" i="1" s="1"/>
  <c r="F63" i="1"/>
  <c r="H63" i="1" l="1"/>
  <c r="F47" i="1"/>
  <c r="C49" i="1"/>
  <c r="E59" i="1" s="1"/>
  <c r="C48" i="1"/>
  <c r="F48" i="1" s="1"/>
  <c r="C47" i="1"/>
  <c r="E57" i="1" s="1"/>
  <c r="C46" i="1"/>
  <c r="F46" i="1" s="1"/>
  <c r="C45" i="1"/>
  <c r="E55" i="1" s="1"/>
  <c r="C44" i="1"/>
  <c r="E54" i="1" s="1"/>
  <c r="C43" i="1"/>
  <c r="E53" i="1" s="1"/>
  <c r="F49" i="1" l="1"/>
  <c r="E56" i="1"/>
  <c r="F44" i="1"/>
  <c r="F45" i="1"/>
  <c r="F43" i="1"/>
  <c r="E58" i="1"/>
  <c r="F37" i="1"/>
  <c r="F38" i="1"/>
  <c r="F39" i="1"/>
  <c r="E39" i="1"/>
  <c r="D59" i="1" s="1"/>
  <c r="E38" i="1"/>
  <c r="D58" i="1" s="1"/>
  <c r="E37" i="1"/>
  <c r="D57" i="1" s="1"/>
  <c r="E36" i="1"/>
  <c r="D56" i="1" s="1"/>
  <c r="E35" i="1"/>
  <c r="D55" i="1" s="1"/>
  <c r="E34" i="1"/>
  <c r="D54" i="1" s="1"/>
  <c r="E33" i="1"/>
  <c r="D53" i="1" s="1"/>
  <c r="B29" i="1"/>
  <c r="C59" i="1" s="1"/>
  <c r="B28" i="1"/>
  <c r="C58" i="1" s="1"/>
  <c r="B27" i="1"/>
  <c r="C57" i="1" s="1"/>
  <c r="B26" i="1"/>
  <c r="C56" i="1" s="1"/>
  <c r="B25" i="1"/>
  <c r="C55" i="1" s="1"/>
  <c r="B24" i="1"/>
  <c r="C54" i="1" s="1"/>
  <c r="B23" i="1"/>
  <c r="C53" i="1" s="1"/>
  <c r="F4" i="1"/>
  <c r="F5" i="1"/>
  <c r="F6" i="1"/>
  <c r="F7" i="1"/>
  <c r="F8" i="1"/>
  <c r="F9" i="1"/>
  <c r="F3" i="1"/>
  <c r="B9" i="1"/>
  <c r="B8" i="1"/>
  <c r="B7" i="1"/>
  <c r="B6" i="1"/>
  <c r="A16" i="1" s="1"/>
  <c r="B16" i="1" s="1"/>
  <c r="B5" i="1"/>
  <c r="B4" i="1"/>
  <c r="K4" i="1" s="1"/>
  <c r="B3" i="1"/>
  <c r="H13" i="1" s="1"/>
  <c r="K8" i="1" l="1"/>
  <c r="F29" i="1"/>
  <c r="F27" i="1"/>
  <c r="F24" i="1"/>
  <c r="F33" i="1"/>
  <c r="F23" i="1"/>
  <c r="F28" i="1"/>
  <c r="F36" i="1"/>
  <c r="F35" i="1"/>
  <c r="F26" i="1"/>
  <c r="F34" i="1"/>
  <c r="K6" i="1"/>
  <c r="F25" i="1"/>
  <c r="A14" i="1"/>
  <c r="B14" i="1" s="1"/>
  <c r="K9" i="1"/>
  <c r="K5" i="1"/>
  <c r="K7" i="1"/>
  <c r="H19" i="1"/>
  <c r="A15" i="1"/>
  <c r="J16" i="1"/>
  <c r="A13" i="1"/>
  <c r="B13" i="1" s="1"/>
  <c r="E16" i="1"/>
  <c r="H16" i="1"/>
  <c r="I16" i="1"/>
  <c r="C16" i="1"/>
  <c r="H15" i="1"/>
  <c r="A19" i="1"/>
  <c r="B19" i="1" s="1"/>
  <c r="D16" i="1"/>
  <c r="H14" i="1"/>
  <c r="A18" i="1"/>
  <c r="K3" i="1"/>
  <c r="A17" i="1"/>
  <c r="H18" i="1"/>
  <c r="H17" i="1"/>
  <c r="B56" i="1" l="1"/>
  <c r="F56" i="1" s="1"/>
  <c r="E14" i="1"/>
  <c r="D14" i="1"/>
  <c r="C14" i="1"/>
  <c r="J14" i="1"/>
  <c r="I14" i="1"/>
  <c r="B54" i="1" s="1"/>
  <c r="F54" i="1" s="1"/>
  <c r="K16" i="1"/>
  <c r="D13" i="1"/>
  <c r="C13" i="1"/>
  <c r="J13" i="1"/>
  <c r="E13" i="1"/>
  <c r="I13" i="1"/>
  <c r="B17" i="1"/>
  <c r="I17" i="1"/>
  <c r="E17" i="1"/>
  <c r="D17" i="1"/>
  <c r="C17" i="1"/>
  <c r="J17" i="1"/>
  <c r="D19" i="1"/>
  <c r="I19" i="1"/>
  <c r="J19" i="1"/>
  <c r="C19" i="1"/>
  <c r="E19" i="1"/>
  <c r="J15" i="1"/>
  <c r="E15" i="1"/>
  <c r="D15" i="1"/>
  <c r="C15" i="1"/>
  <c r="I15" i="1"/>
  <c r="B15" i="1"/>
  <c r="B18" i="1"/>
  <c r="C18" i="1"/>
  <c r="J18" i="1"/>
  <c r="D18" i="1"/>
  <c r="I18" i="1"/>
  <c r="E18" i="1"/>
  <c r="K19" i="1" l="1"/>
  <c r="B57" i="1"/>
  <c r="F57" i="1" s="1"/>
  <c r="K14" i="1"/>
  <c r="B59" i="1"/>
  <c r="F59" i="1" s="1"/>
  <c r="B58" i="1"/>
  <c r="F58" i="1" s="1"/>
  <c r="B55" i="1"/>
  <c r="F55" i="1" s="1"/>
  <c r="B53" i="1"/>
  <c r="F53" i="1" s="1"/>
  <c r="K18" i="1"/>
  <c r="K13" i="1"/>
  <c r="K15" i="1"/>
  <c r="K17" i="1"/>
</calcChain>
</file>

<file path=xl/sharedStrings.xml><?xml version="1.0" encoding="utf-8"?>
<sst xmlns="http://schemas.openxmlformats.org/spreadsheetml/2006/main" count="196" uniqueCount="118">
  <si>
    <t>Conductor</t>
  </si>
  <si>
    <t>ACAR 1000 MCM</t>
  </si>
  <si>
    <t>ACAR 1100 MCM</t>
  </si>
  <si>
    <t>ACAR 1200 MCM</t>
  </si>
  <si>
    <t>ACAR 1300 MCM</t>
  </si>
  <si>
    <t>ACAR 1400 MCM</t>
  </si>
  <si>
    <t>ACAR 1500 MCM</t>
  </si>
  <si>
    <t>ACAR 1600 MCM</t>
  </si>
  <si>
    <t>Densidad del aire</t>
  </si>
  <si>
    <t>Diferencia de T°</t>
  </si>
  <si>
    <t>Convección natural</t>
  </si>
  <si>
    <t>Convección Forzada</t>
  </si>
  <si>
    <t>Diametro exterior [m]</t>
  </si>
  <si>
    <t>Vw [m/s]</t>
  </si>
  <si>
    <t>Viscosidad</t>
  </si>
  <si>
    <t>]0,1-1000[</t>
  </si>
  <si>
    <t>Resultado intervalo</t>
  </si>
  <si>
    <t>]1000-18000[</t>
  </si>
  <si>
    <t>Kf [w*°C/m]</t>
  </si>
  <si>
    <t>ka</t>
  </si>
  <si>
    <t>qc1 [W/m]</t>
  </si>
  <si>
    <t>qc2 [W/m]</t>
  </si>
  <si>
    <t>qc [W/m]</t>
  </si>
  <si>
    <t>qc adecuado [W/m]</t>
  </si>
  <si>
    <t>Resultados del calor disipado por convección</t>
  </si>
  <si>
    <t>Tc °C</t>
  </si>
  <si>
    <t>Ta °C</t>
  </si>
  <si>
    <t>Calor disipado por Radiación</t>
  </si>
  <si>
    <t>ɛ</t>
  </si>
  <si>
    <t>Tc</t>
  </si>
  <si>
    <t>qr [W/m]</t>
  </si>
  <si>
    <t>Calor recibido del sol</t>
  </si>
  <si>
    <t>Absorción solar</t>
  </si>
  <si>
    <t>Flujo de calor corregido</t>
  </si>
  <si>
    <r>
      <t>Sen(</t>
    </r>
    <r>
      <rPr>
        <sz val="11"/>
        <color theme="1"/>
        <rFont val="Calibri"/>
        <family val="2"/>
      </rPr>
      <t>ϴ)</t>
    </r>
  </si>
  <si>
    <t xml:space="preserve">A </t>
  </si>
  <si>
    <t>qs  [W/m]</t>
  </si>
  <si>
    <t>Ro</t>
  </si>
  <si>
    <t>α</t>
  </si>
  <si>
    <t>To</t>
  </si>
  <si>
    <t>Resistencia del conductor v/s Temperatura</t>
  </si>
  <si>
    <r>
      <t xml:space="preserve">R(Tc) </t>
    </r>
    <r>
      <rPr>
        <sz val="11"/>
        <color theme="1"/>
        <rFont val="Old English Text MT"/>
        <family val="4"/>
      </rPr>
      <t xml:space="preserve"> [</t>
    </r>
    <r>
      <rPr>
        <sz val="11"/>
        <color theme="1"/>
        <rFont val="Calibri"/>
        <family val="2"/>
      </rPr>
      <t>Ω/km]</t>
    </r>
  </si>
  <si>
    <t>Corriente</t>
  </si>
  <si>
    <t>R(Tc)  [Ω/km]</t>
  </si>
  <si>
    <t>qs [W/m]</t>
  </si>
  <si>
    <t>I [A]</t>
  </si>
  <si>
    <t>Precio para cada conductor en US$/KM</t>
  </si>
  <si>
    <t>Costo del conductor</t>
  </si>
  <si>
    <t>Costos de perdidas de energia</t>
  </si>
  <si>
    <t>Costos de perdidas de potencia</t>
  </si>
  <si>
    <t>R(S)</t>
  </si>
  <si>
    <t>Costo Por Demanda</t>
  </si>
  <si>
    <t>Costo por Energia</t>
  </si>
  <si>
    <t>Funcion de costos</t>
  </si>
  <si>
    <t>Hipotesis 1</t>
  </si>
  <si>
    <t>Hipotesis 2</t>
  </si>
  <si>
    <t>Hipotesis 3</t>
  </si>
  <si>
    <t>Hipotesis 4</t>
  </si>
  <si>
    <t>Hipotesis 5</t>
  </si>
  <si>
    <t>Hipotesis 6</t>
  </si>
  <si>
    <t>Hipotesis 7</t>
  </si>
  <si>
    <t>t [mm]</t>
  </si>
  <si>
    <t>Hipotesis</t>
  </si>
  <si>
    <t>d [mm]</t>
  </si>
  <si>
    <t>K1</t>
  </si>
  <si>
    <t>Fv [Kg/m]</t>
  </si>
  <si>
    <t>FH [Kg/m]</t>
  </si>
  <si>
    <t>D [mm]</t>
  </si>
  <si>
    <t>Pv [kg/m^2]</t>
  </si>
  <si>
    <t>Fc [Kg/m]</t>
  </si>
  <si>
    <t>Datos para la fuerza resultante</t>
  </si>
  <si>
    <t>FR [Kg/m]</t>
  </si>
  <si>
    <t>Angulo [°]</t>
  </si>
  <si>
    <t>Torre</t>
  </si>
  <si>
    <t>Wc</t>
  </si>
  <si>
    <t>T0</t>
  </si>
  <si>
    <t>Vano [m]</t>
  </si>
  <si>
    <t>Flecha Hipotisis 1 [m]</t>
  </si>
  <si>
    <t>Flecha Hipotisis 2 [m]</t>
  </si>
  <si>
    <t>Flecha Hipotisis 3 [m]</t>
  </si>
  <si>
    <t>Flecha Hipotisis 4 [m]</t>
  </si>
  <si>
    <t>Flecha Hipotisis 5 [m]</t>
  </si>
  <si>
    <t>Flecha Hipotisis 6 [m]</t>
  </si>
  <si>
    <t>Flecha Hipotisis 7 [m]</t>
  </si>
  <si>
    <t>T0 Hipotesis 1</t>
  </si>
  <si>
    <t>T0 Hipotesis 2</t>
  </si>
  <si>
    <t>T0 Hipotesis 3</t>
  </si>
  <si>
    <t>T0 Hipotesis 4</t>
  </si>
  <si>
    <t>T0 Hipotesis 5</t>
  </si>
  <si>
    <t>T0 Hipotesis 6</t>
  </si>
  <si>
    <t>T0 Hipotesis 7</t>
  </si>
  <si>
    <t>Ae</t>
  </si>
  <si>
    <t>TA</t>
  </si>
  <si>
    <t>TB</t>
  </si>
  <si>
    <t>Desnivel [m]</t>
  </si>
  <si>
    <t>Hipotisis 2-7</t>
  </si>
  <si>
    <t>Hipotisis 1</t>
  </si>
  <si>
    <t>Ar parte 1</t>
  </si>
  <si>
    <t>Ar parte 2</t>
  </si>
  <si>
    <t>Ar parte 3</t>
  </si>
  <si>
    <t>Ar parte 4</t>
  </si>
  <si>
    <t>Ar parte 5</t>
  </si>
  <si>
    <t>Coseno del angulo</t>
  </si>
  <si>
    <t>Sumatoria</t>
  </si>
  <si>
    <t>wc2</t>
  </si>
  <si>
    <t>wc3</t>
  </si>
  <si>
    <t xml:space="preserve">wc6 </t>
  </si>
  <si>
    <t>vano3</t>
  </si>
  <si>
    <t>ar</t>
  </si>
  <si>
    <t>w</t>
  </si>
  <si>
    <t>S mm2</t>
  </si>
  <si>
    <t>E</t>
  </si>
  <si>
    <t>TEMP1</t>
  </si>
  <si>
    <t>TEMP2</t>
  </si>
  <si>
    <t>T1</t>
  </si>
  <si>
    <t>A</t>
  </si>
  <si>
    <t>alfa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</si>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</sst>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Old English Text MT"/>
      <family val="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165" fontId="0" fillId="2" borderId="1" xfId="1" applyNumberFormat="1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0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65" fontId="0" fillId="2" borderId="8" xfId="1" applyNumberFormat="1" applyFont="1" applyFill="1" applyBorder="1" applyAlignment="1"/>
    <xf numFmtId="165" fontId="0" fillId="2" borderId="11" xfId="1" applyNumberFormat="1" applyFont="1" applyFill="1" applyBorder="1" applyAlignment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65" fontId="0" fillId="2" borderId="1" xfId="1" applyNumberFormat="1" applyFont="1" applyFill="1" applyBorder="1" applyAlignment="1">
      <alignment horizontal="left"/>
    </xf>
    <xf numFmtId="165" fontId="1" fillId="5" borderId="1" xfId="1" applyNumberFormat="1" applyFont="1" applyFill="1" applyBorder="1" applyAlignment="1">
      <alignment horizontal="left"/>
    </xf>
    <xf numFmtId="166" fontId="0" fillId="2" borderId="1" xfId="1" applyNumberFormat="1" applyFont="1" applyFill="1" applyBorder="1"/>
    <xf numFmtId="0" fontId="2" fillId="3" borderId="2" xfId="0" applyFont="1" applyFill="1" applyBorder="1" applyAlignment="1">
      <alignment horizontal="center"/>
    </xf>
    <xf numFmtId="165" fontId="0" fillId="2" borderId="1" xfId="0" applyNumberFormat="1" applyFill="1" applyBorder="1"/>
    <xf numFmtId="0" fontId="0" fillId="2" borderId="8" xfId="0" applyFill="1" applyBorder="1"/>
    <xf numFmtId="167" fontId="0" fillId="2" borderId="1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/>
    <xf numFmtId="167" fontId="4" fillId="3" borderId="0" xfId="0" applyNumberFormat="1" applyFont="1" applyFill="1"/>
    <xf numFmtId="167" fontId="4" fillId="5" borderId="1" xfId="0" applyNumberFormat="1" applyFont="1" applyFill="1" applyBorder="1"/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abSelected="1" topLeftCell="A206" zoomScaleNormal="100" workbookViewId="0">
      <selection activeCell="I212" sqref="I212:I221"/>
    </sheetView>
  </sheetViews>
  <sheetFormatPr baseColWidth="10" defaultColWidth="8.85546875" defaultRowHeight="15" x14ac:dyDescent="0.25"/>
  <cols>
    <col min="1" max="1" width="17.5703125" customWidth="1"/>
    <col min="2" max="2" width="20.85546875" customWidth="1"/>
    <col min="3" max="3" width="18.85546875" customWidth="1"/>
    <col min="4" max="4" width="18.7109375" customWidth="1"/>
    <col min="5" max="5" width="17.5703125" customWidth="1"/>
    <col min="6" max="6" width="21.85546875" customWidth="1"/>
    <col min="7" max="7" width="21.7109375" customWidth="1"/>
    <col min="8" max="8" width="20.42578125" customWidth="1"/>
    <col min="9" max="9" width="21.42578125" customWidth="1"/>
    <col min="10" max="10" width="17.42578125" customWidth="1"/>
    <col min="11" max="11" width="19.7109375" customWidth="1"/>
    <col min="12" max="12" width="18.85546875" customWidth="1"/>
    <col min="13" max="13" width="19.140625" customWidth="1"/>
    <col min="14" max="14" width="10.7109375" customWidth="1"/>
  </cols>
  <sheetData>
    <row r="1" spans="1:11" ht="15.75" thickBot="1" x14ac:dyDescent="0.3">
      <c r="A1" s="35" t="s">
        <v>10</v>
      </c>
      <c r="B1" s="36"/>
      <c r="C1" s="36"/>
      <c r="D1" s="36"/>
      <c r="E1" s="37"/>
    </row>
    <row r="2" spans="1:11" x14ac:dyDescent="0.25">
      <c r="A2" s="7" t="s">
        <v>0</v>
      </c>
      <c r="B2" s="7" t="s">
        <v>12</v>
      </c>
      <c r="C2" s="8" t="s">
        <v>8</v>
      </c>
      <c r="D2" s="7" t="s">
        <v>25</v>
      </c>
      <c r="E2" s="7" t="s">
        <v>26</v>
      </c>
      <c r="F2" s="3" t="s">
        <v>9</v>
      </c>
      <c r="G2" s="3" t="s">
        <v>13</v>
      </c>
      <c r="H2" s="3" t="s">
        <v>18</v>
      </c>
      <c r="I2" s="3" t="s">
        <v>19</v>
      </c>
      <c r="J2" s="3" t="s">
        <v>14</v>
      </c>
      <c r="K2" s="3" t="s">
        <v>22</v>
      </c>
    </row>
    <row r="3" spans="1:11" x14ac:dyDescent="0.25">
      <c r="A3" s="10" t="s">
        <v>1</v>
      </c>
      <c r="B3" s="10">
        <f>(29.26/1000)</f>
        <v>2.9260000000000001E-2</v>
      </c>
      <c r="C3" s="10">
        <v>1.123</v>
      </c>
      <c r="D3" s="2">
        <v>65</v>
      </c>
      <c r="E3" s="2">
        <v>15</v>
      </c>
      <c r="F3" s="11">
        <f>(D3-E3)</f>
        <v>50</v>
      </c>
      <c r="G3" s="11">
        <v>1.6666700000000001</v>
      </c>
      <c r="H3" s="11">
        <v>2.7224000000000002E-2</v>
      </c>
      <c r="I3" s="11">
        <v>1</v>
      </c>
      <c r="J3" s="2">
        <f>(1.91*10^-5)</f>
        <v>1.91E-5</v>
      </c>
      <c r="K3" s="12">
        <f t="shared" ref="K3:K9" si="0">(3.645*(C3^0.5)*(B3^0.75)*(F3^1.25))</f>
        <v>36.333367996087567</v>
      </c>
    </row>
    <row r="4" spans="1:11" x14ac:dyDescent="0.25">
      <c r="A4" s="11" t="s">
        <v>2</v>
      </c>
      <c r="B4" s="11">
        <f>(30.7/1000)</f>
        <v>3.0699999999999998E-2</v>
      </c>
      <c r="C4" s="10">
        <v>1.123</v>
      </c>
      <c r="D4" s="2">
        <v>65</v>
      </c>
      <c r="E4" s="2">
        <v>15</v>
      </c>
      <c r="F4" s="11">
        <f t="shared" ref="F4:F9" si="1">(D4-E4)</f>
        <v>50</v>
      </c>
      <c r="G4" s="11">
        <v>1.6666700000000001</v>
      </c>
      <c r="H4" s="11">
        <v>2.7224000000000002E-2</v>
      </c>
      <c r="I4" s="11">
        <v>1</v>
      </c>
      <c r="J4" s="2">
        <f t="shared" ref="J4:J9" si="2">(1.91*10^-5)</f>
        <v>1.91E-5</v>
      </c>
      <c r="K4" s="12">
        <f t="shared" si="0"/>
        <v>37.666363895231044</v>
      </c>
    </row>
    <row r="5" spans="1:11" x14ac:dyDescent="0.25">
      <c r="A5" s="11" t="s">
        <v>3</v>
      </c>
      <c r="B5" s="11">
        <f>(32.08/1000)</f>
        <v>3.2079999999999997E-2</v>
      </c>
      <c r="C5" s="10">
        <v>1.123</v>
      </c>
      <c r="D5" s="2">
        <v>65</v>
      </c>
      <c r="E5" s="2">
        <v>15</v>
      </c>
      <c r="F5" s="11">
        <f t="shared" si="1"/>
        <v>50</v>
      </c>
      <c r="G5" s="11">
        <v>1.6666700000000001</v>
      </c>
      <c r="H5" s="11">
        <v>2.7224000000000002E-2</v>
      </c>
      <c r="I5" s="11">
        <v>1</v>
      </c>
      <c r="J5" s="2">
        <f t="shared" si="2"/>
        <v>1.91E-5</v>
      </c>
      <c r="K5" s="12">
        <f t="shared" si="0"/>
        <v>38.929218547022565</v>
      </c>
    </row>
    <row r="6" spans="1:11" x14ac:dyDescent="0.25">
      <c r="A6" s="11" t="s">
        <v>4</v>
      </c>
      <c r="B6" s="11">
        <f>(33.37/1000)</f>
        <v>3.3369999999999997E-2</v>
      </c>
      <c r="C6" s="10">
        <v>1.123</v>
      </c>
      <c r="D6" s="2">
        <v>65</v>
      </c>
      <c r="E6" s="2">
        <v>15</v>
      </c>
      <c r="F6" s="11">
        <f t="shared" si="1"/>
        <v>50</v>
      </c>
      <c r="G6" s="11">
        <v>1.6666700000000001</v>
      </c>
      <c r="H6" s="11">
        <v>2.7224000000000002E-2</v>
      </c>
      <c r="I6" s="11">
        <v>1</v>
      </c>
      <c r="J6" s="2">
        <f t="shared" si="2"/>
        <v>1.91E-5</v>
      </c>
      <c r="K6" s="12">
        <f t="shared" si="0"/>
        <v>40.097479238739652</v>
      </c>
    </row>
    <row r="7" spans="1:11" x14ac:dyDescent="0.25">
      <c r="A7" s="11" t="s">
        <v>5</v>
      </c>
      <c r="B7" s="11">
        <f>(34.63/1000)</f>
        <v>3.4630000000000001E-2</v>
      </c>
      <c r="C7" s="10">
        <v>1.123</v>
      </c>
      <c r="D7" s="2">
        <v>65</v>
      </c>
      <c r="E7" s="2">
        <v>15</v>
      </c>
      <c r="F7" s="11">
        <f t="shared" si="1"/>
        <v>50</v>
      </c>
      <c r="G7" s="11">
        <v>1.6666700000000001</v>
      </c>
      <c r="H7" s="11">
        <v>2.7224000000000002E-2</v>
      </c>
      <c r="I7" s="11">
        <v>1</v>
      </c>
      <c r="J7" s="2">
        <f t="shared" si="2"/>
        <v>1.91E-5</v>
      </c>
      <c r="K7" s="12">
        <f t="shared" si="0"/>
        <v>41.227716868653346</v>
      </c>
    </row>
    <row r="8" spans="1:11" x14ac:dyDescent="0.25">
      <c r="A8" s="11" t="s">
        <v>6</v>
      </c>
      <c r="B8" s="11">
        <f>(35.85/1000)</f>
        <v>3.585E-2</v>
      </c>
      <c r="C8" s="10">
        <v>1.123</v>
      </c>
      <c r="D8" s="2">
        <v>65</v>
      </c>
      <c r="E8" s="2">
        <v>15</v>
      </c>
      <c r="F8" s="11">
        <f t="shared" si="1"/>
        <v>50</v>
      </c>
      <c r="G8" s="11">
        <v>1.6666700000000001</v>
      </c>
      <c r="H8" s="11">
        <v>2.7224000000000002E-2</v>
      </c>
      <c r="I8" s="11">
        <v>1</v>
      </c>
      <c r="J8" s="2">
        <f t="shared" si="2"/>
        <v>1.91E-5</v>
      </c>
      <c r="K8" s="12">
        <f t="shared" si="0"/>
        <v>42.312314904334762</v>
      </c>
    </row>
    <row r="9" spans="1:11" x14ac:dyDescent="0.25">
      <c r="A9" s="11" t="s">
        <v>7</v>
      </c>
      <c r="B9" s="11">
        <f>(37.04/1000)</f>
        <v>3.7039999999999997E-2</v>
      </c>
      <c r="C9" s="10">
        <v>1.123</v>
      </c>
      <c r="D9" s="2">
        <v>65</v>
      </c>
      <c r="E9" s="2">
        <v>15</v>
      </c>
      <c r="F9" s="11">
        <f t="shared" si="1"/>
        <v>50</v>
      </c>
      <c r="G9" s="11">
        <v>1.6666700000000001</v>
      </c>
      <c r="H9" s="11">
        <v>2.7224000000000002E-2</v>
      </c>
      <c r="I9" s="11">
        <v>1</v>
      </c>
      <c r="J9" s="2">
        <f t="shared" si="2"/>
        <v>1.91E-5</v>
      </c>
      <c r="K9" s="12">
        <f t="shared" si="0"/>
        <v>43.361385421371175</v>
      </c>
    </row>
    <row r="10" spans="1:11" ht="15.75" thickBot="1" x14ac:dyDescent="0.3">
      <c r="B10" s="9"/>
    </row>
    <row r="11" spans="1:11" ht="15.75" thickBot="1" x14ac:dyDescent="0.3">
      <c r="A11" s="38" t="s">
        <v>11</v>
      </c>
      <c r="B11" s="39"/>
      <c r="C11" s="39"/>
      <c r="D11" s="36"/>
      <c r="E11" s="40"/>
      <c r="G11" s="35" t="s">
        <v>24</v>
      </c>
      <c r="H11" s="36"/>
      <c r="I11" s="36"/>
      <c r="J11" s="37"/>
    </row>
    <row r="12" spans="1:11" x14ac:dyDescent="0.25">
      <c r="A12" s="4" t="s">
        <v>16</v>
      </c>
      <c r="B12" s="4" t="s">
        <v>15</v>
      </c>
      <c r="C12" s="4" t="s">
        <v>17</v>
      </c>
      <c r="D12" s="15" t="s">
        <v>20</v>
      </c>
      <c r="E12" s="4" t="s">
        <v>21</v>
      </c>
      <c r="G12" s="7" t="s">
        <v>0</v>
      </c>
      <c r="H12" s="16" t="s">
        <v>22</v>
      </c>
      <c r="I12" s="17" t="s">
        <v>20</v>
      </c>
      <c r="J12" s="18" t="s">
        <v>21</v>
      </c>
      <c r="K12" s="17" t="s">
        <v>23</v>
      </c>
    </row>
    <row r="13" spans="1:11" x14ac:dyDescent="0.25">
      <c r="A13" s="14">
        <f t="shared" ref="A13:A19" si="3">((B3*C3*G3)/(J3))</f>
        <v>2867.2814762617804</v>
      </c>
      <c r="B13" s="10" t="str">
        <f>IF(AND(A13&gt;0.1,A13&lt;1000),"si","NO")</f>
        <v>NO</v>
      </c>
      <c r="C13" s="11" t="str">
        <f>IF(AND(A13&lt;18000,A13&gt;1000),"Si","NO")</f>
        <v>Si</v>
      </c>
      <c r="D13" s="6">
        <f t="shared" ref="D13:D19" si="4">((1.01+1.35*(A13^0.52)*H3*I3*F3))</f>
        <v>116.39258910640025</v>
      </c>
      <c r="E13" s="6">
        <f t="shared" ref="E13:E19" si="5">(0.754*(A13^0.6)*H3*I3*F3)</f>
        <v>121.83595833068711</v>
      </c>
      <c r="G13" s="10" t="s">
        <v>1</v>
      </c>
      <c r="H13" s="19">
        <f t="shared" ref="H13:H19" si="6">(3.645*(C3^0.5)*(B3^0.75)*(F3^1.25))</f>
        <v>36.333367996087567</v>
      </c>
      <c r="I13" s="19">
        <f t="shared" ref="I13:I19" si="7">((1.01+1.35*(A13^0.52)*H3*I3*F3))</f>
        <v>116.39258910640025</v>
      </c>
      <c r="J13" s="19">
        <f t="shared" ref="J13:J19" si="8">(0.754*(A13^0.6)*H3*I3*F3)</f>
        <v>121.83595833068711</v>
      </c>
      <c r="K13" s="20">
        <f>(MAX(H13,I13,J13))</f>
        <v>121.83595833068711</v>
      </c>
    </row>
    <row r="14" spans="1:11" x14ac:dyDescent="0.25">
      <c r="A14" s="13">
        <f t="shared" si="3"/>
        <v>3008.3917061256543</v>
      </c>
      <c r="B14" s="11" t="str">
        <f t="shared" ref="B14:B19" si="9">IF(AND(A14&gt;0.1,A14&lt;1000),"si","NO")</f>
        <v>NO</v>
      </c>
      <c r="C14" s="11" t="str">
        <f t="shared" ref="C14:C19" si="10">IF(AND(A14&lt;18000,A14&gt;1000),"Si","NO")</f>
        <v>Si</v>
      </c>
      <c r="D14" s="6">
        <f t="shared" si="4"/>
        <v>119.31131929995499</v>
      </c>
      <c r="E14" s="6">
        <f t="shared" si="5"/>
        <v>125.39895458185326</v>
      </c>
      <c r="G14" s="11" t="s">
        <v>2</v>
      </c>
      <c r="H14" s="19">
        <f t="shared" si="6"/>
        <v>37.666363895231044</v>
      </c>
      <c r="I14" s="19">
        <f t="shared" si="7"/>
        <v>119.31131929995499</v>
      </c>
      <c r="J14" s="19">
        <f t="shared" si="8"/>
        <v>125.39895458185326</v>
      </c>
      <c r="K14" s="20">
        <f t="shared" ref="K14:K19" si="11">(MAX(H14,I14,J14))</f>
        <v>125.39895458185326</v>
      </c>
    </row>
    <row r="15" spans="1:11" x14ac:dyDescent="0.25">
      <c r="A15" s="13">
        <f t="shared" si="3"/>
        <v>3143.6223430785335</v>
      </c>
      <c r="B15" s="11" t="str">
        <f t="shared" si="9"/>
        <v>NO</v>
      </c>
      <c r="C15" s="11" t="str">
        <f t="shared" si="10"/>
        <v>Si</v>
      </c>
      <c r="D15" s="6">
        <f t="shared" si="4"/>
        <v>122.04737592577477</v>
      </c>
      <c r="E15" s="6">
        <f t="shared" si="5"/>
        <v>128.75126548938795</v>
      </c>
      <c r="G15" s="11" t="s">
        <v>3</v>
      </c>
      <c r="H15" s="19">
        <f t="shared" si="6"/>
        <v>38.929218547022565</v>
      </c>
      <c r="I15" s="19">
        <f t="shared" si="7"/>
        <v>122.04737592577477</v>
      </c>
      <c r="J15" s="19">
        <f t="shared" si="8"/>
        <v>128.75126548938795</v>
      </c>
      <c r="K15" s="20">
        <f t="shared" si="11"/>
        <v>128.75126548938795</v>
      </c>
    </row>
    <row r="16" spans="1:11" x14ac:dyDescent="0.25">
      <c r="A16" s="13">
        <f t="shared" si="3"/>
        <v>3270.0335906649211</v>
      </c>
      <c r="B16" s="11" t="str">
        <f t="shared" si="9"/>
        <v>NO</v>
      </c>
      <c r="C16" s="11" t="str">
        <f t="shared" si="10"/>
        <v>Si</v>
      </c>
      <c r="D16" s="6">
        <f t="shared" si="4"/>
        <v>124.55434184734864</v>
      </c>
      <c r="E16" s="6">
        <f t="shared" si="5"/>
        <v>131.83314558417393</v>
      </c>
      <c r="G16" s="11" t="s">
        <v>4</v>
      </c>
      <c r="H16" s="19">
        <f t="shared" si="6"/>
        <v>40.097479238739652</v>
      </c>
      <c r="I16" s="19">
        <f t="shared" si="7"/>
        <v>124.55434184734864</v>
      </c>
      <c r="J16" s="19">
        <f t="shared" si="8"/>
        <v>131.83314558417393</v>
      </c>
      <c r="K16" s="20">
        <f t="shared" si="11"/>
        <v>131.83314558417393</v>
      </c>
    </row>
    <row r="17" spans="1:11" x14ac:dyDescent="0.25">
      <c r="A17" s="13">
        <f t="shared" si="3"/>
        <v>3393.5050417958114</v>
      </c>
      <c r="B17" s="11" t="str">
        <f t="shared" si="9"/>
        <v>NO</v>
      </c>
      <c r="C17" s="11" t="str">
        <f t="shared" si="10"/>
        <v>Si</v>
      </c>
      <c r="D17" s="6">
        <f t="shared" si="4"/>
        <v>126.95847932234589</v>
      </c>
      <c r="E17" s="6">
        <f t="shared" si="5"/>
        <v>134.79767004402331</v>
      </c>
      <c r="G17" s="11" t="s">
        <v>5</v>
      </c>
      <c r="H17" s="19">
        <f t="shared" si="6"/>
        <v>41.227716868653346</v>
      </c>
      <c r="I17" s="19">
        <f t="shared" si="7"/>
        <v>126.95847932234589</v>
      </c>
      <c r="J17" s="19">
        <f t="shared" si="8"/>
        <v>134.79767004402331</v>
      </c>
      <c r="K17" s="20">
        <f t="shared" si="11"/>
        <v>134.79767004402331</v>
      </c>
    </row>
    <row r="18" spans="1:11" x14ac:dyDescent="0.25">
      <c r="A18" s="13">
        <f t="shared" si="3"/>
        <v>3513.0567643193722</v>
      </c>
      <c r="B18" s="11" t="str">
        <f t="shared" si="9"/>
        <v>NO</v>
      </c>
      <c r="C18" s="11" t="str">
        <f t="shared" si="10"/>
        <v>Si</v>
      </c>
      <c r="D18" s="6">
        <f t="shared" si="4"/>
        <v>129.24660030665152</v>
      </c>
      <c r="E18" s="6">
        <f t="shared" si="5"/>
        <v>137.62723558831834</v>
      </c>
      <c r="G18" s="11" t="s">
        <v>6</v>
      </c>
      <c r="H18" s="19">
        <f t="shared" si="6"/>
        <v>42.312314904334762</v>
      </c>
      <c r="I18" s="19">
        <f t="shared" si="7"/>
        <v>129.24660030665152</v>
      </c>
      <c r="J18" s="19">
        <f t="shared" si="8"/>
        <v>137.62723558831834</v>
      </c>
      <c r="K18" s="20">
        <f t="shared" si="11"/>
        <v>137.62723558831834</v>
      </c>
    </row>
    <row r="19" spans="1:11" x14ac:dyDescent="0.25">
      <c r="A19" s="13">
        <f t="shared" si="3"/>
        <v>3629.6686903874343</v>
      </c>
      <c r="B19" s="11" t="str">
        <f t="shared" si="9"/>
        <v>NO</v>
      </c>
      <c r="C19" s="11" t="str">
        <f t="shared" si="10"/>
        <v>Si</v>
      </c>
      <c r="D19" s="6">
        <f t="shared" si="4"/>
        <v>131.4427170666583</v>
      </c>
      <c r="E19" s="6">
        <f t="shared" si="5"/>
        <v>140.35034270694146</v>
      </c>
      <c r="G19" s="11" t="s">
        <v>7</v>
      </c>
      <c r="H19" s="19">
        <f t="shared" si="6"/>
        <v>43.361385421371175</v>
      </c>
      <c r="I19" s="19">
        <f t="shared" si="7"/>
        <v>131.4427170666583</v>
      </c>
      <c r="J19" s="19">
        <f t="shared" si="8"/>
        <v>140.35034270694146</v>
      </c>
      <c r="K19" s="20">
        <f t="shared" si="11"/>
        <v>140.35034270694146</v>
      </c>
    </row>
    <row r="20" spans="1:11" ht="15.75" thickBot="1" x14ac:dyDescent="0.3"/>
    <row r="21" spans="1:11" ht="15.75" thickBot="1" x14ac:dyDescent="0.3">
      <c r="A21" s="35" t="s">
        <v>27</v>
      </c>
      <c r="B21" s="36"/>
      <c r="C21" s="36"/>
      <c r="D21" s="36"/>
      <c r="E21" s="36"/>
      <c r="F21" s="37"/>
    </row>
    <row r="22" spans="1:11" x14ac:dyDescent="0.25">
      <c r="A22" s="7" t="s">
        <v>0</v>
      </c>
      <c r="B22" s="7" t="s">
        <v>12</v>
      </c>
      <c r="C22" s="8" t="s">
        <v>28</v>
      </c>
      <c r="D22" s="7" t="s">
        <v>25</v>
      </c>
      <c r="E22" s="7" t="s">
        <v>26</v>
      </c>
      <c r="F22" s="5" t="s">
        <v>30</v>
      </c>
    </row>
    <row r="23" spans="1:11" x14ac:dyDescent="0.25">
      <c r="A23" s="10" t="s">
        <v>1</v>
      </c>
      <c r="B23" s="10">
        <f>(29.26/1000)</f>
        <v>2.9260000000000001E-2</v>
      </c>
      <c r="C23" s="11">
        <v>0.8</v>
      </c>
      <c r="D23" s="11">
        <v>65</v>
      </c>
      <c r="E23" s="11">
        <v>15</v>
      </c>
      <c r="F23" s="21">
        <f>(17.8*B23*C23*((((D23+273)/100)^4)-(((E23+273)/100)^4)))</f>
        <v>25.716338328665593</v>
      </c>
    </row>
    <row r="24" spans="1:11" x14ac:dyDescent="0.25">
      <c r="A24" s="11" t="s">
        <v>2</v>
      </c>
      <c r="B24" s="11">
        <f>(30.7/1000)</f>
        <v>3.0699999999999998E-2</v>
      </c>
      <c r="C24" s="11">
        <v>0.8</v>
      </c>
      <c r="D24" s="11">
        <v>65</v>
      </c>
      <c r="E24" s="11">
        <v>15</v>
      </c>
      <c r="F24" s="21">
        <f t="shared" ref="F24:F29" si="12">(17.8*B24*C24*((((D24+273)/100)^4)-(((E24+273)/100)^4)))</f>
        <v>26.981940761791986</v>
      </c>
    </row>
    <row r="25" spans="1:11" x14ac:dyDescent="0.25">
      <c r="A25" s="11" t="s">
        <v>3</v>
      </c>
      <c r="B25" s="11">
        <f>(32.08/1000)</f>
        <v>3.2079999999999997E-2</v>
      </c>
      <c r="C25" s="11">
        <v>0.8</v>
      </c>
      <c r="D25" s="11">
        <v>65</v>
      </c>
      <c r="E25" s="11">
        <v>15</v>
      </c>
      <c r="F25" s="21">
        <f t="shared" si="12"/>
        <v>28.194809760204784</v>
      </c>
    </row>
    <row r="26" spans="1:11" x14ac:dyDescent="0.25">
      <c r="A26" s="11" t="s">
        <v>4</v>
      </c>
      <c r="B26" s="11">
        <f>(33.37/1000)</f>
        <v>3.3369999999999997E-2</v>
      </c>
      <c r="C26" s="11">
        <v>0.8</v>
      </c>
      <c r="D26" s="11">
        <v>65</v>
      </c>
      <c r="E26" s="11">
        <v>15</v>
      </c>
      <c r="F26" s="21">
        <f t="shared" si="12"/>
        <v>29.328578606547186</v>
      </c>
    </row>
    <row r="27" spans="1:11" x14ac:dyDescent="0.25">
      <c r="A27" s="11" t="s">
        <v>5</v>
      </c>
      <c r="B27" s="11">
        <f>(34.63/1000)</f>
        <v>3.4630000000000001E-2</v>
      </c>
      <c r="C27" s="11">
        <v>0.8</v>
      </c>
      <c r="D27" s="11">
        <v>65</v>
      </c>
      <c r="E27" s="11">
        <v>15</v>
      </c>
      <c r="F27" s="21">
        <f t="shared" si="12"/>
        <v>30.435980735532787</v>
      </c>
    </row>
    <row r="28" spans="1:11" x14ac:dyDescent="0.25">
      <c r="A28" s="11" t="s">
        <v>6</v>
      </c>
      <c r="B28" s="11">
        <f>(35.85/1000)</f>
        <v>3.585E-2</v>
      </c>
      <c r="C28" s="11">
        <v>0.8</v>
      </c>
      <c r="D28" s="11">
        <v>65</v>
      </c>
      <c r="E28" s="11">
        <v>15</v>
      </c>
      <c r="F28" s="21">
        <f t="shared" si="12"/>
        <v>31.50822724137598</v>
      </c>
    </row>
    <row r="29" spans="1:11" x14ac:dyDescent="0.25">
      <c r="A29" s="11" t="s">
        <v>7</v>
      </c>
      <c r="B29" s="11">
        <f>(37.04/1000)</f>
        <v>3.7039999999999997E-2</v>
      </c>
      <c r="C29" s="11">
        <v>0.8</v>
      </c>
      <c r="D29" s="11">
        <v>65</v>
      </c>
      <c r="E29" s="11">
        <v>15</v>
      </c>
      <c r="F29" s="21">
        <f t="shared" si="12"/>
        <v>32.554107029862386</v>
      </c>
    </row>
    <row r="30" spans="1:11" ht="15.75" thickBot="1" x14ac:dyDescent="0.3"/>
    <row r="31" spans="1:11" ht="15.75" thickBot="1" x14ac:dyDescent="0.3">
      <c r="A31" s="35" t="s">
        <v>31</v>
      </c>
      <c r="B31" s="36"/>
      <c r="C31" s="36"/>
      <c r="D31" s="36"/>
      <c r="E31" s="36"/>
      <c r="F31" s="37"/>
    </row>
    <row r="32" spans="1:11" x14ac:dyDescent="0.25">
      <c r="A32" s="7" t="s">
        <v>0</v>
      </c>
      <c r="B32" s="7" t="s">
        <v>32</v>
      </c>
      <c r="C32" s="7" t="s">
        <v>33</v>
      </c>
      <c r="D32" s="7" t="s">
        <v>34</v>
      </c>
      <c r="E32" s="15" t="s">
        <v>35</v>
      </c>
      <c r="F32" s="5" t="s">
        <v>36</v>
      </c>
    </row>
    <row r="33" spans="1:7" x14ac:dyDescent="0.25">
      <c r="A33" s="11" t="s">
        <v>1</v>
      </c>
      <c r="B33" s="11">
        <v>0.5</v>
      </c>
      <c r="C33" s="11">
        <v>1834</v>
      </c>
      <c r="D33" s="2">
        <v>0.91259999999999997</v>
      </c>
      <c r="E33" s="10">
        <f>(29.26/1000)</f>
        <v>2.9260000000000001E-2</v>
      </c>
      <c r="F33" s="2">
        <f>(B33*C33*D33*E33)</f>
        <v>24.486353892</v>
      </c>
    </row>
    <row r="34" spans="1:7" x14ac:dyDescent="0.25">
      <c r="A34" s="11" t="s">
        <v>2</v>
      </c>
      <c r="B34" s="11">
        <v>0.5</v>
      </c>
      <c r="C34" s="11">
        <v>1834</v>
      </c>
      <c r="D34" s="2">
        <v>0.91259999999999997</v>
      </c>
      <c r="E34" s="11">
        <f>(30.7/1000)</f>
        <v>3.0699999999999998E-2</v>
      </c>
      <c r="F34" s="2">
        <f t="shared" ref="F34:F39" si="13">(B34*C34*D34*E34)</f>
        <v>25.691423939999996</v>
      </c>
    </row>
    <row r="35" spans="1:7" x14ac:dyDescent="0.25">
      <c r="A35" s="11" t="s">
        <v>3</v>
      </c>
      <c r="B35" s="11">
        <v>0.5</v>
      </c>
      <c r="C35" s="11">
        <v>1834</v>
      </c>
      <c r="D35" s="2">
        <v>0.91259999999999997</v>
      </c>
      <c r="E35" s="11">
        <f>(32.08/1000)</f>
        <v>3.2079999999999997E-2</v>
      </c>
      <c r="F35" s="2">
        <f t="shared" si="13"/>
        <v>26.846282735999999</v>
      </c>
    </row>
    <row r="36" spans="1:7" x14ac:dyDescent="0.25">
      <c r="A36" s="11" t="s">
        <v>4</v>
      </c>
      <c r="B36" s="11">
        <v>0.5</v>
      </c>
      <c r="C36" s="11">
        <v>1834</v>
      </c>
      <c r="D36" s="2">
        <v>0.91259999999999997</v>
      </c>
      <c r="E36" s="11">
        <f>(33.37/1000)</f>
        <v>3.3369999999999997E-2</v>
      </c>
      <c r="F36" s="2">
        <f t="shared" si="13"/>
        <v>27.925824653999996</v>
      </c>
    </row>
    <row r="37" spans="1:7" x14ac:dyDescent="0.25">
      <c r="A37" s="11" t="s">
        <v>5</v>
      </c>
      <c r="B37" s="11">
        <v>0.5</v>
      </c>
      <c r="C37" s="11">
        <v>1834</v>
      </c>
      <c r="D37" s="2">
        <v>0.91259999999999997</v>
      </c>
      <c r="E37" s="11">
        <f>(34.63/1000)</f>
        <v>3.4630000000000001E-2</v>
      </c>
      <c r="F37" s="2">
        <f t="shared" si="13"/>
        <v>28.980260946000001</v>
      </c>
    </row>
    <row r="38" spans="1:7" x14ac:dyDescent="0.25">
      <c r="A38" s="11" t="s">
        <v>6</v>
      </c>
      <c r="B38" s="11">
        <v>0.5</v>
      </c>
      <c r="C38" s="11">
        <v>1834</v>
      </c>
      <c r="D38" s="2">
        <v>0.91259999999999997</v>
      </c>
      <c r="E38" s="11">
        <f>(35.85/1000)</f>
        <v>3.585E-2</v>
      </c>
      <c r="F38" s="2">
        <f t="shared" si="13"/>
        <v>30.001223069999998</v>
      </c>
    </row>
    <row r="39" spans="1:7" x14ac:dyDescent="0.25">
      <c r="A39" s="11" t="s">
        <v>7</v>
      </c>
      <c r="B39" s="11">
        <v>0.5</v>
      </c>
      <c r="C39" s="11">
        <v>1834</v>
      </c>
      <c r="D39" s="2">
        <v>0.91259999999999997</v>
      </c>
      <c r="E39" s="11">
        <f>(37.04/1000)</f>
        <v>3.7039999999999997E-2</v>
      </c>
      <c r="F39" s="2">
        <f t="shared" si="13"/>
        <v>30.997079567999997</v>
      </c>
    </row>
    <row r="40" spans="1:7" ht="15.75" thickBot="1" x14ac:dyDescent="0.3"/>
    <row r="41" spans="1:7" ht="15.75" thickBot="1" x14ac:dyDescent="0.3">
      <c r="A41" s="35" t="s">
        <v>40</v>
      </c>
      <c r="B41" s="36"/>
      <c r="C41" s="36"/>
      <c r="D41" s="36"/>
      <c r="E41" s="36"/>
      <c r="F41" s="37"/>
      <c r="G41" s="9"/>
    </row>
    <row r="42" spans="1:7" ht="15.75" x14ac:dyDescent="0.25">
      <c r="A42" s="7" t="s">
        <v>0</v>
      </c>
      <c r="B42" s="8" t="s">
        <v>37</v>
      </c>
      <c r="C42" s="22" t="s">
        <v>38</v>
      </c>
      <c r="D42" s="7" t="s">
        <v>29</v>
      </c>
      <c r="E42" s="7" t="s">
        <v>39</v>
      </c>
      <c r="F42" s="7" t="s">
        <v>41</v>
      </c>
    </row>
    <row r="43" spans="1:7" x14ac:dyDescent="0.25">
      <c r="A43" s="11" t="s">
        <v>1</v>
      </c>
      <c r="B43" s="2">
        <v>5.9400000000000001E-2</v>
      </c>
      <c r="C43" s="2">
        <f>(20*10^-6)</f>
        <v>1.9999999999999998E-5</v>
      </c>
      <c r="D43" s="2">
        <v>65</v>
      </c>
      <c r="E43" s="2">
        <v>20</v>
      </c>
      <c r="F43" s="2">
        <f>(B43*(1-C43*(D43-E43)))</f>
        <v>5.9346540000000003E-2</v>
      </c>
    </row>
    <row r="44" spans="1:7" x14ac:dyDescent="0.25">
      <c r="A44" s="11" t="s">
        <v>2</v>
      </c>
      <c r="B44" s="2">
        <v>5.3900000000000003E-2</v>
      </c>
      <c r="C44" s="2">
        <f t="shared" ref="C44:C49" si="14">(20*10^-6)</f>
        <v>1.9999999999999998E-5</v>
      </c>
      <c r="D44" s="2">
        <v>65</v>
      </c>
      <c r="E44" s="2">
        <v>20</v>
      </c>
      <c r="F44" s="2">
        <f t="shared" ref="F44:F49" si="15">(B44*(1-C44*(D44-E44)))</f>
        <v>5.3851490000000002E-2</v>
      </c>
    </row>
    <row r="45" spans="1:7" x14ac:dyDescent="0.25">
      <c r="A45" s="11" t="s">
        <v>3</v>
      </c>
      <c r="B45" s="2">
        <v>4.9399999999999999E-2</v>
      </c>
      <c r="C45" s="2">
        <f t="shared" si="14"/>
        <v>1.9999999999999998E-5</v>
      </c>
      <c r="D45" s="2">
        <v>65</v>
      </c>
      <c r="E45" s="2">
        <v>20</v>
      </c>
      <c r="F45" s="2">
        <f t="shared" si="15"/>
        <v>4.9355539999999996E-2</v>
      </c>
    </row>
    <row r="46" spans="1:7" x14ac:dyDescent="0.25">
      <c r="A46" s="11" t="s">
        <v>4</v>
      </c>
      <c r="B46" s="2">
        <v>4.5600000000000002E-2</v>
      </c>
      <c r="C46" s="2">
        <f t="shared" si="14"/>
        <v>1.9999999999999998E-5</v>
      </c>
      <c r="D46" s="2">
        <v>65</v>
      </c>
      <c r="E46" s="2">
        <v>20</v>
      </c>
      <c r="F46" s="2">
        <f t="shared" si="15"/>
        <v>4.5558960000000003E-2</v>
      </c>
    </row>
    <row r="47" spans="1:7" x14ac:dyDescent="0.25">
      <c r="A47" s="11" t="s">
        <v>5</v>
      </c>
      <c r="B47" s="2">
        <v>4.24E-2</v>
      </c>
      <c r="C47" s="2">
        <f t="shared" si="14"/>
        <v>1.9999999999999998E-5</v>
      </c>
      <c r="D47" s="2">
        <v>65</v>
      </c>
      <c r="E47" s="2">
        <v>20</v>
      </c>
      <c r="F47" s="2">
        <f t="shared" si="15"/>
        <v>4.2361839999999998E-2</v>
      </c>
    </row>
    <row r="48" spans="1:7" x14ac:dyDescent="0.25">
      <c r="A48" s="11" t="s">
        <v>6</v>
      </c>
      <c r="B48" s="2">
        <v>3.9600000000000003E-2</v>
      </c>
      <c r="C48" s="2">
        <f t="shared" si="14"/>
        <v>1.9999999999999998E-5</v>
      </c>
      <c r="D48" s="2">
        <v>65</v>
      </c>
      <c r="E48" s="2">
        <v>20</v>
      </c>
      <c r="F48" s="2">
        <f t="shared" si="15"/>
        <v>3.956436E-2</v>
      </c>
    </row>
    <row r="49" spans="1:8" x14ac:dyDescent="0.25">
      <c r="A49" s="11" t="s">
        <v>7</v>
      </c>
      <c r="B49" s="2">
        <v>3.7100000000000001E-2</v>
      </c>
      <c r="C49" s="2">
        <f t="shared" si="14"/>
        <v>1.9999999999999998E-5</v>
      </c>
      <c r="D49" s="2">
        <v>65</v>
      </c>
      <c r="E49" s="2">
        <v>20</v>
      </c>
      <c r="F49" s="2">
        <f t="shared" si="15"/>
        <v>3.706661E-2</v>
      </c>
    </row>
    <row r="50" spans="1:8" ht="15.75" thickBot="1" x14ac:dyDescent="0.3"/>
    <row r="51" spans="1:8" ht="15.75" thickBot="1" x14ac:dyDescent="0.3">
      <c r="A51" s="35" t="s">
        <v>42</v>
      </c>
      <c r="B51" s="36"/>
      <c r="C51" s="36"/>
      <c r="D51" s="36"/>
      <c r="E51" s="36"/>
      <c r="F51" s="37"/>
    </row>
    <row r="52" spans="1:8" x14ac:dyDescent="0.25">
      <c r="A52" s="7" t="s">
        <v>0</v>
      </c>
      <c r="B52" s="5" t="s">
        <v>22</v>
      </c>
      <c r="C52" s="5" t="s">
        <v>30</v>
      </c>
      <c r="D52" s="5" t="s">
        <v>44</v>
      </c>
      <c r="E52" s="5" t="s">
        <v>43</v>
      </c>
      <c r="F52" s="1" t="s">
        <v>45</v>
      </c>
    </row>
    <row r="53" spans="1:8" x14ac:dyDescent="0.25">
      <c r="A53" s="10" t="s">
        <v>1</v>
      </c>
      <c r="B53" s="23">
        <f>(MAX(H13,I13,J13))</f>
        <v>121.83595833068711</v>
      </c>
      <c r="C53" s="2">
        <f>(17.8*B23*C23*((((D23+273)/100)^4)-(((E23+273)/100)^4)))</f>
        <v>25.716338328665593</v>
      </c>
      <c r="D53" s="2">
        <f>(B33*C33*D33*E33)</f>
        <v>24.486353892</v>
      </c>
      <c r="E53" s="2">
        <f>(B43*(1-C43*(D43-E43)))</f>
        <v>5.9346540000000003E-2</v>
      </c>
      <c r="F53" s="2">
        <f>((((B53+C53-D53)*1000)/E53)^0.5)</f>
        <v>1440.0290043904456</v>
      </c>
    </row>
    <row r="54" spans="1:8" x14ac:dyDescent="0.25">
      <c r="A54" s="11" t="s">
        <v>2</v>
      </c>
      <c r="B54" s="23">
        <f t="shared" ref="B54:B59" si="16">(MAX(H14,I14,J14))</f>
        <v>125.39895458185326</v>
      </c>
      <c r="C54" s="2">
        <f t="shared" ref="C54:C59" si="17">(17.8*B24*C24*((((D24+273)/100)^4)-(((E24+273)/100)^4)))</f>
        <v>26.981940761791986</v>
      </c>
      <c r="D54" s="2">
        <f t="shared" ref="D54:D59" si="18">(B34*C34*D34*E34)</f>
        <v>25.691423939999996</v>
      </c>
      <c r="E54" s="2">
        <f t="shared" ref="E54:E59" si="19">(B44*(1-C44*(D44-E44)))</f>
        <v>5.3851490000000002E-2</v>
      </c>
      <c r="F54" s="2">
        <f t="shared" ref="F54:F59" si="20">((((B54+C54-D54)*1000)/E54)^0.5)</f>
        <v>1533.8094174655878</v>
      </c>
    </row>
    <row r="55" spans="1:8" x14ac:dyDescent="0.25">
      <c r="A55" s="11" t="s">
        <v>3</v>
      </c>
      <c r="B55" s="23">
        <f t="shared" si="16"/>
        <v>128.75126548938795</v>
      </c>
      <c r="C55" s="2">
        <f t="shared" si="17"/>
        <v>28.194809760204784</v>
      </c>
      <c r="D55" s="2">
        <f t="shared" si="18"/>
        <v>26.846282735999999</v>
      </c>
      <c r="E55" s="2">
        <f t="shared" si="19"/>
        <v>4.9355539999999996E-2</v>
      </c>
      <c r="F55" s="2">
        <f t="shared" si="20"/>
        <v>1623.5674956737716</v>
      </c>
    </row>
    <row r="56" spans="1:8" x14ac:dyDescent="0.25">
      <c r="A56" s="11" t="s">
        <v>4</v>
      </c>
      <c r="B56" s="23">
        <f t="shared" si="16"/>
        <v>131.83314558417393</v>
      </c>
      <c r="C56" s="2">
        <f t="shared" si="17"/>
        <v>29.328578606547186</v>
      </c>
      <c r="D56" s="2">
        <f t="shared" si="18"/>
        <v>27.925824653999996</v>
      </c>
      <c r="E56" s="2">
        <f t="shared" si="19"/>
        <v>4.5558960000000003E-2</v>
      </c>
      <c r="F56" s="2">
        <f t="shared" si="20"/>
        <v>1710.108747084596</v>
      </c>
    </row>
    <row r="57" spans="1:8" x14ac:dyDescent="0.25">
      <c r="A57" s="11" t="s">
        <v>5</v>
      </c>
      <c r="B57" s="23">
        <f t="shared" si="16"/>
        <v>134.79767004402331</v>
      </c>
      <c r="C57" s="2">
        <f t="shared" si="17"/>
        <v>30.435980735532787</v>
      </c>
      <c r="D57" s="2">
        <f t="shared" si="18"/>
        <v>28.980260946000001</v>
      </c>
      <c r="E57" s="2">
        <f t="shared" si="19"/>
        <v>4.2361839999999998E-2</v>
      </c>
      <c r="F57" s="2">
        <f t="shared" si="20"/>
        <v>1793.4375153431847</v>
      </c>
    </row>
    <row r="58" spans="1:8" x14ac:dyDescent="0.25">
      <c r="A58" s="11" t="s">
        <v>6</v>
      </c>
      <c r="B58" s="23">
        <f t="shared" si="16"/>
        <v>137.62723558831834</v>
      </c>
      <c r="C58" s="2">
        <f t="shared" si="17"/>
        <v>31.50822724137598</v>
      </c>
      <c r="D58" s="2">
        <f t="shared" si="18"/>
        <v>30.001223069999998</v>
      </c>
      <c r="E58" s="2">
        <f t="shared" si="19"/>
        <v>3.956436E-2</v>
      </c>
      <c r="F58" s="2">
        <f t="shared" si="20"/>
        <v>1875.2748847373223</v>
      </c>
    </row>
    <row r="59" spans="1:8" x14ac:dyDescent="0.25">
      <c r="A59" s="11" t="s">
        <v>7</v>
      </c>
      <c r="B59" s="23">
        <f t="shared" si="16"/>
        <v>140.35034270694146</v>
      </c>
      <c r="C59" s="2">
        <f t="shared" si="17"/>
        <v>32.554107029862386</v>
      </c>
      <c r="D59" s="2">
        <f t="shared" si="18"/>
        <v>30.997079567999997</v>
      </c>
      <c r="E59" s="2">
        <f t="shared" si="19"/>
        <v>3.706661E-2</v>
      </c>
      <c r="F59" s="2">
        <f t="shared" si="20"/>
        <v>1956.6405133277287</v>
      </c>
    </row>
    <row r="60" spans="1:8" ht="15.75" thickBot="1" x14ac:dyDescent="0.3"/>
    <row r="61" spans="1:8" ht="15.75" thickBot="1" x14ac:dyDescent="0.3">
      <c r="A61" s="35" t="s">
        <v>46</v>
      </c>
      <c r="B61" s="36"/>
      <c r="C61" s="36"/>
      <c r="D61" s="36"/>
      <c r="E61" s="36"/>
      <c r="F61" s="36"/>
      <c r="G61" s="36"/>
      <c r="H61" s="37"/>
    </row>
    <row r="62" spans="1:8" x14ac:dyDescent="0.25">
      <c r="A62" s="7" t="s">
        <v>0</v>
      </c>
      <c r="B62" s="1" t="s">
        <v>50</v>
      </c>
      <c r="C62" s="7" t="s">
        <v>47</v>
      </c>
      <c r="D62" s="7" t="s">
        <v>51</v>
      </c>
      <c r="E62" s="7" t="s">
        <v>52</v>
      </c>
      <c r="F62" s="1" t="s">
        <v>48</v>
      </c>
      <c r="G62" s="7" t="s">
        <v>49</v>
      </c>
      <c r="H62" s="7" t="s">
        <v>53</v>
      </c>
    </row>
    <row r="63" spans="1:8" x14ac:dyDescent="0.25">
      <c r="A63" s="10" t="s">
        <v>1</v>
      </c>
      <c r="B63" s="24">
        <v>5.9499999999999997E-2</v>
      </c>
      <c r="C63" s="2">
        <v>43500</v>
      </c>
      <c r="D63" s="2">
        <v>8.5924999999999994</v>
      </c>
      <c r="E63" s="2">
        <v>6.0100000000000001E-2</v>
      </c>
      <c r="F63" s="2">
        <f>(8.05518*(B63/1000)*(428.46^2)*8760*0.98*E63)</f>
        <v>45395.984186957416</v>
      </c>
      <c r="G63" s="2">
        <f>(8.05518*(B63/1000)*(428.46^2)*D63)</f>
        <v>756.01832602178354</v>
      </c>
      <c r="H63" s="2">
        <f>(C63+F63+G63)</f>
        <v>89652.002512979205</v>
      </c>
    </row>
    <row r="64" spans="1:8" x14ac:dyDescent="0.25">
      <c r="A64" s="11" t="s">
        <v>2</v>
      </c>
      <c r="B64" s="24">
        <v>5.3999999999999999E-2</v>
      </c>
      <c r="C64" s="2">
        <v>45067</v>
      </c>
      <c r="D64" s="2">
        <v>8.5924999999999994</v>
      </c>
      <c r="E64" s="2">
        <v>6.0100000000000001E-2</v>
      </c>
      <c r="F64" s="2">
        <f t="shared" ref="F64:F69" si="21">(8.05518*(B64/1000)*(428.46^2)*8760*0.98*E64)</f>
        <v>41199.716741104225</v>
      </c>
      <c r="G64" s="2">
        <f t="shared" ref="G64:G69" si="22">(8.05518*(B64/1000)*(428.46^2)*D64)</f>
        <v>686.13427907859364</v>
      </c>
      <c r="H64" s="2">
        <f t="shared" ref="H64:H69" si="23">(C64+F64+G64)</f>
        <v>86952.851020182832</v>
      </c>
    </row>
    <row r="65" spans="1:9" x14ac:dyDescent="0.25">
      <c r="A65" s="11" t="s">
        <v>3</v>
      </c>
      <c r="B65" s="24">
        <v>4.9500000000000002E-2</v>
      </c>
      <c r="C65" s="2">
        <v>47267</v>
      </c>
      <c r="D65" s="2">
        <v>8.5924999999999994</v>
      </c>
      <c r="E65" s="2">
        <v>6.0100000000000001E-2</v>
      </c>
      <c r="F65" s="2">
        <f t="shared" si="21"/>
        <v>37766.407012678872</v>
      </c>
      <c r="G65" s="2">
        <f t="shared" si="22"/>
        <v>628.95642248871081</v>
      </c>
      <c r="H65" s="2">
        <f t="shared" si="23"/>
        <v>85662.363435167586</v>
      </c>
    </row>
    <row r="66" spans="1:9" x14ac:dyDescent="0.25">
      <c r="A66" s="11" t="s">
        <v>4</v>
      </c>
      <c r="B66" s="24">
        <v>4.5600000000000002E-2</v>
      </c>
      <c r="C66" s="2">
        <v>49467</v>
      </c>
      <c r="D66" s="2">
        <v>8.5924999999999994</v>
      </c>
      <c r="E66" s="2">
        <v>6.0100000000000001E-2</v>
      </c>
      <c r="F66" s="2">
        <f t="shared" si="21"/>
        <v>34790.871914710238</v>
      </c>
      <c r="G66" s="2">
        <f t="shared" si="22"/>
        <v>579.40228011081251</v>
      </c>
      <c r="H66" s="2">
        <f t="shared" si="23"/>
        <v>84837.274194821046</v>
      </c>
    </row>
    <row r="67" spans="1:9" x14ac:dyDescent="0.25">
      <c r="A67" s="11" t="s">
        <v>5</v>
      </c>
      <c r="B67" s="24">
        <v>4.24E-2</v>
      </c>
      <c r="C67" s="2">
        <v>52066</v>
      </c>
      <c r="D67" s="2">
        <v>8.5924999999999994</v>
      </c>
      <c r="E67" s="2">
        <v>6.0100000000000001E-2</v>
      </c>
      <c r="F67" s="2">
        <f t="shared" si="21"/>
        <v>32349.407218941098</v>
      </c>
      <c r="G67" s="2">
        <f t="shared" si="22"/>
        <v>538.74247098022897</v>
      </c>
      <c r="H67" s="2">
        <f t="shared" si="23"/>
        <v>84954.149689921323</v>
      </c>
    </row>
    <row r="68" spans="1:9" x14ac:dyDescent="0.25">
      <c r="A68" s="11" t="s">
        <v>6</v>
      </c>
      <c r="B68" s="24">
        <v>3.9600000000000003E-2</v>
      </c>
      <c r="C68" s="2">
        <v>55000</v>
      </c>
      <c r="D68" s="2">
        <v>8.5924999999999994</v>
      </c>
      <c r="E68" s="2">
        <v>6.0100000000000001E-2</v>
      </c>
      <c r="F68" s="2">
        <f t="shared" si="21"/>
        <v>30213.125610143099</v>
      </c>
      <c r="G68" s="2">
        <f t="shared" si="22"/>
        <v>503.16513799096867</v>
      </c>
      <c r="H68" s="2">
        <f t="shared" si="23"/>
        <v>85716.290748134066</v>
      </c>
    </row>
    <row r="69" spans="1:9" x14ac:dyDescent="0.25">
      <c r="A69" s="11" t="s">
        <v>7</v>
      </c>
      <c r="B69" s="24">
        <v>3.7100000000000001E-2</v>
      </c>
      <c r="C69" s="2">
        <v>58000</v>
      </c>
      <c r="D69" s="2">
        <v>8.5924999999999994</v>
      </c>
      <c r="E69" s="2">
        <v>6.0100000000000001E-2</v>
      </c>
      <c r="F69" s="2">
        <f t="shared" si="21"/>
        <v>28305.731316573456</v>
      </c>
      <c r="G69" s="2">
        <f t="shared" si="22"/>
        <v>471.39966210770041</v>
      </c>
      <c r="H69" s="2">
        <f t="shared" si="23"/>
        <v>86777.130978681147</v>
      </c>
    </row>
    <row r="70" spans="1:9" ht="15.75" thickBot="1" x14ac:dyDescent="0.3"/>
    <row r="71" spans="1:9" x14ac:dyDescent="0.25">
      <c r="A71" s="38" t="s">
        <v>70</v>
      </c>
      <c r="B71" s="39"/>
      <c r="C71" s="39"/>
      <c r="D71" s="39"/>
      <c r="E71" s="39"/>
      <c r="F71" s="39"/>
      <c r="G71" s="39"/>
      <c r="H71" s="39"/>
      <c r="I71" s="40"/>
    </row>
    <row r="72" spans="1:9" x14ac:dyDescent="0.25">
      <c r="A72" s="4" t="s">
        <v>62</v>
      </c>
      <c r="B72" s="4" t="s">
        <v>61</v>
      </c>
      <c r="C72" s="4" t="s">
        <v>63</v>
      </c>
      <c r="D72" s="4" t="s">
        <v>67</v>
      </c>
      <c r="E72" s="4" t="s">
        <v>68</v>
      </c>
      <c r="F72" s="4" t="s">
        <v>64</v>
      </c>
      <c r="G72" s="4" t="s">
        <v>66</v>
      </c>
      <c r="H72" s="4" t="s">
        <v>65</v>
      </c>
      <c r="I72" s="4" t="s">
        <v>69</v>
      </c>
    </row>
    <row r="73" spans="1:9" x14ac:dyDescent="0.25">
      <c r="A73" s="11" t="s">
        <v>54</v>
      </c>
      <c r="B73" s="2">
        <v>0</v>
      </c>
      <c r="C73" s="2">
        <v>28.15</v>
      </c>
      <c r="D73" s="2">
        <f>(C73+2*B73)</f>
        <v>28.15</v>
      </c>
      <c r="E73" s="2">
        <v>0</v>
      </c>
      <c r="F73" s="2">
        <v>1.1000000000000001</v>
      </c>
      <c r="G73" s="2">
        <f t="shared" ref="G73:G79" si="24">(0.785*((D73^2)-(C73^2))*(10^-3))</f>
        <v>0</v>
      </c>
      <c r="H73" s="2">
        <f>(E73*(C73+2*B73)*F73*(10^-3))</f>
        <v>0</v>
      </c>
      <c r="I73" s="2">
        <v>1.2949999999999999</v>
      </c>
    </row>
    <row r="74" spans="1:9" x14ac:dyDescent="0.25">
      <c r="A74" s="11" t="s">
        <v>55</v>
      </c>
      <c r="B74" s="2">
        <v>0</v>
      </c>
      <c r="C74" s="2">
        <v>28.15</v>
      </c>
      <c r="D74" s="2">
        <f t="shared" ref="D74:D79" si="25">(C74+2*B74)</f>
        <v>28.15</v>
      </c>
      <c r="E74" s="2">
        <v>80</v>
      </c>
      <c r="F74" s="2">
        <v>1.1000000000000001</v>
      </c>
      <c r="G74" s="2">
        <f t="shared" si="24"/>
        <v>0</v>
      </c>
      <c r="H74" s="2">
        <f t="shared" ref="H74:H79" si="26">(E74*(C74+2*B74)*F74*(10^-3))</f>
        <v>2.4772000000000003</v>
      </c>
      <c r="I74" s="2">
        <v>1.2949999999999999</v>
      </c>
    </row>
    <row r="75" spans="1:9" x14ac:dyDescent="0.25">
      <c r="A75" s="11" t="s">
        <v>56</v>
      </c>
      <c r="B75" s="2">
        <v>10</v>
      </c>
      <c r="C75" s="2">
        <v>28.15</v>
      </c>
      <c r="D75" s="2">
        <f t="shared" si="25"/>
        <v>48.15</v>
      </c>
      <c r="E75" s="2">
        <v>20</v>
      </c>
      <c r="F75" s="2">
        <v>1.1000000000000001</v>
      </c>
      <c r="G75" s="2">
        <f t="shared" si="24"/>
        <v>1.1979099999999998</v>
      </c>
      <c r="H75" s="2">
        <f t="shared" si="26"/>
        <v>1.0593000000000001</v>
      </c>
      <c r="I75" s="2">
        <v>1.2949999999999999</v>
      </c>
    </row>
    <row r="76" spans="1:9" x14ac:dyDescent="0.25">
      <c r="A76" s="11" t="s">
        <v>57</v>
      </c>
      <c r="B76" s="2">
        <v>0</v>
      </c>
      <c r="C76" s="2">
        <v>28.15</v>
      </c>
      <c r="D76" s="2">
        <f t="shared" si="25"/>
        <v>28.15</v>
      </c>
      <c r="E76" s="2">
        <v>0</v>
      </c>
      <c r="F76" s="2">
        <v>1.1000000000000001</v>
      </c>
      <c r="G76" s="2">
        <f t="shared" si="24"/>
        <v>0</v>
      </c>
      <c r="H76" s="2">
        <f t="shared" si="26"/>
        <v>0</v>
      </c>
      <c r="I76" s="2">
        <v>1.2949999999999999</v>
      </c>
    </row>
    <row r="77" spans="1:9" x14ac:dyDescent="0.25">
      <c r="A77" s="11" t="s">
        <v>58</v>
      </c>
      <c r="B77" s="2">
        <v>0</v>
      </c>
      <c r="C77" s="2">
        <v>28.15</v>
      </c>
      <c r="D77" s="2">
        <f t="shared" si="25"/>
        <v>28.15</v>
      </c>
      <c r="E77" s="2">
        <v>0</v>
      </c>
      <c r="F77" s="2">
        <v>1.1000000000000001</v>
      </c>
      <c r="G77" s="2">
        <f t="shared" si="24"/>
        <v>0</v>
      </c>
      <c r="H77" s="2">
        <f t="shared" si="26"/>
        <v>0</v>
      </c>
      <c r="I77" s="2">
        <v>1.2949999999999999</v>
      </c>
    </row>
    <row r="78" spans="1:9" x14ac:dyDescent="0.25">
      <c r="A78" s="11" t="s">
        <v>59</v>
      </c>
      <c r="B78" s="2">
        <v>10</v>
      </c>
      <c r="C78" s="2">
        <v>28.15</v>
      </c>
      <c r="D78" s="2">
        <f t="shared" si="25"/>
        <v>48.15</v>
      </c>
      <c r="E78" s="2">
        <v>0</v>
      </c>
      <c r="F78" s="2">
        <v>1.1000000000000001</v>
      </c>
      <c r="G78" s="2">
        <f t="shared" si="24"/>
        <v>1.1979099999999998</v>
      </c>
      <c r="H78" s="2">
        <f t="shared" si="26"/>
        <v>0</v>
      </c>
      <c r="I78" s="2">
        <v>1.2949999999999999</v>
      </c>
    </row>
    <row r="79" spans="1:9" x14ac:dyDescent="0.25">
      <c r="A79" s="11" t="s">
        <v>60</v>
      </c>
      <c r="B79" s="2">
        <v>0</v>
      </c>
      <c r="C79" s="2">
        <v>28.15</v>
      </c>
      <c r="D79" s="2">
        <f t="shared" si="25"/>
        <v>28.15</v>
      </c>
      <c r="E79" s="2">
        <v>0</v>
      </c>
      <c r="F79" s="2">
        <v>1.1000000000000001</v>
      </c>
      <c r="G79" s="2">
        <f t="shared" si="24"/>
        <v>0</v>
      </c>
      <c r="H79" s="2">
        <f t="shared" si="26"/>
        <v>0</v>
      </c>
      <c r="I79" s="2">
        <v>1.2949999999999999</v>
      </c>
    </row>
    <row r="81" spans="1:15" x14ac:dyDescent="0.25">
      <c r="A81" s="4" t="s">
        <v>62</v>
      </c>
      <c r="B81" s="4" t="s">
        <v>66</v>
      </c>
      <c r="C81" s="4" t="s">
        <v>65</v>
      </c>
      <c r="D81" s="4" t="s">
        <v>69</v>
      </c>
      <c r="E81" s="15" t="s">
        <v>71</v>
      </c>
      <c r="F81" s="15" t="s">
        <v>72</v>
      </c>
    </row>
    <row r="82" spans="1:15" x14ac:dyDescent="0.25">
      <c r="A82" s="11" t="s">
        <v>54</v>
      </c>
      <c r="B82" s="2">
        <f>(0.785*((D73^2)-(C73^2))*(10^-3))</f>
        <v>0</v>
      </c>
      <c r="C82" s="2">
        <f>(E73*(C73+2*B73)*F73*(10^-3))</f>
        <v>0</v>
      </c>
      <c r="D82" s="2">
        <v>1.2949999999999999</v>
      </c>
      <c r="E82" s="2">
        <f>((((D82+B82)^2)+(C82^2))^0.5)</f>
        <v>1.2949999999999999</v>
      </c>
      <c r="F82" s="2">
        <v>0</v>
      </c>
    </row>
    <row r="83" spans="1:15" x14ac:dyDescent="0.25">
      <c r="A83" s="11" t="s">
        <v>55</v>
      </c>
      <c r="B83" s="2">
        <f t="shared" ref="B83:B88" si="27">(0.785*((D74^2)-(C74^2))*(10^-3))</f>
        <v>0</v>
      </c>
      <c r="C83" s="2">
        <f t="shared" ref="C83:C88" si="28">(E74*(C74+2*B74)*F74*(10^-3))</f>
        <v>2.4772000000000003</v>
      </c>
      <c r="D83" s="2">
        <v>1.2949999999999999</v>
      </c>
      <c r="E83" s="2">
        <v>2.81</v>
      </c>
      <c r="F83" s="2">
        <v>62.4</v>
      </c>
    </row>
    <row r="84" spans="1:15" x14ac:dyDescent="0.25">
      <c r="A84" s="11" t="s">
        <v>56</v>
      </c>
      <c r="B84" s="2">
        <f t="shared" si="27"/>
        <v>1.1979099999999998</v>
      </c>
      <c r="C84" s="2">
        <f t="shared" si="28"/>
        <v>1.0593000000000001</v>
      </c>
      <c r="D84" s="2">
        <v>1.2949999999999999</v>
      </c>
      <c r="E84" s="2">
        <f t="shared" ref="E83:E88" si="29">((((D84+B84)^2)+(C84^2))^0.5)</f>
        <v>2.7086374357045275</v>
      </c>
      <c r="F84" s="2">
        <v>23.02</v>
      </c>
    </row>
    <row r="85" spans="1:15" x14ac:dyDescent="0.25">
      <c r="A85" s="11" t="s">
        <v>57</v>
      </c>
      <c r="B85" s="2">
        <f t="shared" si="27"/>
        <v>0</v>
      </c>
      <c r="C85" s="2">
        <f t="shared" si="28"/>
        <v>0</v>
      </c>
      <c r="D85" s="2">
        <v>1.2949999999999999</v>
      </c>
      <c r="E85" s="2">
        <f t="shared" si="29"/>
        <v>1.2949999999999999</v>
      </c>
      <c r="F85" s="2">
        <v>0</v>
      </c>
    </row>
    <row r="86" spans="1:15" x14ac:dyDescent="0.25">
      <c r="A86" s="11" t="s">
        <v>58</v>
      </c>
      <c r="B86" s="2">
        <f t="shared" si="27"/>
        <v>0</v>
      </c>
      <c r="C86" s="2">
        <f t="shared" si="28"/>
        <v>0</v>
      </c>
      <c r="D86" s="2">
        <v>1.2949999999999999</v>
      </c>
      <c r="E86" s="2">
        <f t="shared" si="29"/>
        <v>1.2949999999999999</v>
      </c>
      <c r="F86" s="2">
        <v>0</v>
      </c>
    </row>
    <row r="87" spans="1:15" x14ac:dyDescent="0.25">
      <c r="A87" s="11" t="s">
        <v>59</v>
      </c>
      <c r="B87" s="2">
        <f t="shared" si="27"/>
        <v>1.1979099999999998</v>
      </c>
      <c r="C87" s="2">
        <f t="shared" si="28"/>
        <v>0</v>
      </c>
      <c r="D87" s="2">
        <v>1.2949999999999999</v>
      </c>
      <c r="E87" s="2">
        <f t="shared" si="29"/>
        <v>2.4929099999999997</v>
      </c>
      <c r="F87" s="2">
        <v>0</v>
      </c>
    </row>
    <row r="88" spans="1:15" x14ac:dyDescent="0.25">
      <c r="A88" s="11" t="s">
        <v>60</v>
      </c>
      <c r="B88" s="2">
        <f t="shared" si="27"/>
        <v>0</v>
      </c>
      <c r="C88" s="2">
        <f t="shared" si="28"/>
        <v>0</v>
      </c>
      <c r="D88" s="2">
        <v>1.2949999999999999</v>
      </c>
      <c r="E88" s="2">
        <f t="shared" si="29"/>
        <v>1.2949999999999999</v>
      </c>
      <c r="F88" s="2">
        <v>0</v>
      </c>
    </row>
    <row r="91" spans="1:15" x14ac:dyDescent="0.25">
      <c r="A91" s="4" t="s">
        <v>74</v>
      </c>
      <c r="B91" s="4" t="s">
        <v>76</v>
      </c>
      <c r="C91" s="4" t="s">
        <v>94</v>
      </c>
      <c r="D91" s="3"/>
      <c r="E91" s="4" t="s">
        <v>73</v>
      </c>
      <c r="F91" s="4" t="s">
        <v>77</v>
      </c>
      <c r="G91" s="3" t="s">
        <v>78</v>
      </c>
      <c r="H91" s="4" t="s">
        <v>79</v>
      </c>
      <c r="I91" s="4" t="s">
        <v>80</v>
      </c>
      <c r="J91" s="4" t="s">
        <v>81</v>
      </c>
      <c r="K91" s="4" t="s">
        <v>82</v>
      </c>
      <c r="L91" s="4" t="s">
        <v>83</v>
      </c>
      <c r="M91" s="15" t="s">
        <v>104</v>
      </c>
      <c r="N91" s="15" t="s">
        <v>105</v>
      </c>
      <c r="O91" s="15" t="s">
        <v>106</v>
      </c>
    </row>
    <row r="92" spans="1:15" x14ac:dyDescent="0.25">
      <c r="A92" s="2">
        <v>1.2949999999999999</v>
      </c>
      <c r="B92" s="2">
        <v>451</v>
      </c>
      <c r="C92" s="2">
        <v>-11.6</v>
      </c>
      <c r="D92" s="2"/>
      <c r="E92" s="2">
        <v>1</v>
      </c>
      <c r="F92" s="25">
        <f t="shared" ref="F92:F112" si="30">(A92*B92^2/(8*A115))*SQRT(1+(C92/B92)^2)</f>
        <v>13.185118504550697</v>
      </c>
      <c r="G92" s="25">
        <f>((M92*(B92^2)/(8*B115))*SQRT(1+(C92/B92)^2))</f>
        <v>10.330764591332228</v>
      </c>
      <c r="H92" s="25">
        <f>((N92*(B92^2)/(8*C115))*SQRT(1+(C92/B92)^2))</f>
        <v>9.9998860101151834</v>
      </c>
      <c r="I92" s="25">
        <f>((A92*(B92^2)/(8*D115))*SQRT(1+(C92/B92)^2))</f>
        <v>4.7609751408452796</v>
      </c>
      <c r="J92" s="25">
        <f>((A92*(B92^2)/(8*E115))*SQRT(1+(C92/B92)^2))</f>
        <v>4.7609751408452796</v>
      </c>
      <c r="K92" s="25">
        <f>((O92*(B92^2)/(8*E115))*SQRT(1+(C92/B92)^2))</f>
        <v>9.191071700473513</v>
      </c>
      <c r="L92" s="25">
        <f>((A92*(B92^2)/(8*F115))*SQRT(1+(C92/B92)^2))</f>
        <v>4.7609751408452796</v>
      </c>
      <c r="M92">
        <v>2.81</v>
      </c>
      <c r="N92">
        <v>2.72</v>
      </c>
      <c r="O92">
        <v>2.5</v>
      </c>
    </row>
    <row r="93" spans="1:15" x14ac:dyDescent="0.25">
      <c r="A93" s="2">
        <v>1.2949999999999999</v>
      </c>
      <c r="B93" s="2">
        <v>325</v>
      </c>
      <c r="C93" s="2">
        <v>30.4</v>
      </c>
      <c r="D93" s="2"/>
      <c r="E93" s="2">
        <v>2</v>
      </c>
      <c r="F93" s="25">
        <f t="shared" si="30"/>
        <v>6.8745729279509735</v>
      </c>
      <c r="G93" s="25">
        <f>((M93*(B93^2)/(8*B116))*SQRT(1+(C93/B93)^2))</f>
        <v>5.3863448068438231</v>
      </c>
      <c r="H93" s="25">
        <f t="shared" ref="H93:H112" si="31">((N93*(B93^2)/(8*C116))*SQRT(1+(C93/B93)^2))</f>
        <v>5.2138284251299636</v>
      </c>
      <c r="I93" s="25">
        <f t="shared" ref="I93:I112" si="32">((A93*(B93^2)/(8*D116))*SQRT(1+(C93/B93)^2))</f>
        <v>2.4823190479938613</v>
      </c>
      <c r="J93" s="25">
        <f t="shared" ref="J93:J112" si="33">((A93*(B93^2)/(8*E116))*SQRT(1+(C93/B93)^2))</f>
        <v>2.4823190479938613</v>
      </c>
      <c r="K93" s="25">
        <f>((O93*(B93^2)/(8*E116))*SQRT(1+(C93/B93)^2))</f>
        <v>4.7921217142738639</v>
      </c>
      <c r="L93" s="25">
        <f t="shared" ref="L93:L112" si="34">((A93*(B93^2)/(8*F116))*SQRT(1+(C93/B93)^2))</f>
        <v>2.4823190479938613</v>
      </c>
      <c r="M93">
        <v>2.81</v>
      </c>
      <c r="N93">
        <v>2.72</v>
      </c>
      <c r="O93">
        <v>2.5</v>
      </c>
    </row>
    <row r="94" spans="1:15" x14ac:dyDescent="0.25">
      <c r="A94" s="2">
        <v>1.2949999999999999</v>
      </c>
      <c r="B94" s="2">
        <v>291</v>
      </c>
      <c r="C94" s="2">
        <v>-5.8</v>
      </c>
      <c r="D94" s="2"/>
      <c r="E94" s="2">
        <v>3</v>
      </c>
      <c r="F94" s="25">
        <f t="shared" si="30"/>
        <v>5.4885745965364405</v>
      </c>
      <c r="G94" s="25">
        <f>((M94*(B94^2)/(8*B117))*SQRT(1+(C94/B94)^2))</f>
        <v>4.3003915421173087</v>
      </c>
      <c r="H94" s="25">
        <f t="shared" si="31"/>
        <v>4.1626565816936223</v>
      </c>
      <c r="I94" s="25">
        <f t="shared" si="32"/>
        <v>1.9818530416519264</v>
      </c>
      <c r="J94" s="25">
        <f t="shared" si="33"/>
        <v>1.9818530416519264</v>
      </c>
      <c r="K94" s="25">
        <f t="shared" ref="K94:K112" si="35">((O94*(B94^2)/(8*E117))*SQRT(1+(C94/B94)^2))</f>
        <v>3.8259711228801674</v>
      </c>
      <c r="L94" s="25">
        <f t="shared" si="34"/>
        <v>1.9818530416519264</v>
      </c>
      <c r="M94">
        <v>2.81</v>
      </c>
      <c r="N94">
        <v>2.72</v>
      </c>
      <c r="O94">
        <v>2.5</v>
      </c>
    </row>
    <row r="95" spans="1:15" x14ac:dyDescent="0.25">
      <c r="A95" s="2">
        <v>1.2949999999999999</v>
      </c>
      <c r="B95" s="2">
        <v>360</v>
      </c>
      <c r="C95" s="2">
        <v>19.2</v>
      </c>
      <c r="D95" s="2"/>
      <c r="E95" s="2">
        <v>4</v>
      </c>
      <c r="F95" s="25">
        <f t="shared" si="30"/>
        <v>8.4102544486958166</v>
      </c>
      <c r="G95" s="25">
        <f t="shared" ref="G95:G112" si="36">((M95*(B95^2)/(8*B118))*SQRT(1+(C95/B95)^2))</f>
        <v>6.5895773961147119</v>
      </c>
      <c r="H95" s="25">
        <f t="shared" si="31"/>
        <v>6.3785233158121057</v>
      </c>
      <c r="I95" s="25">
        <f t="shared" si="32"/>
        <v>3.036833711020837</v>
      </c>
      <c r="J95" s="25">
        <f t="shared" si="33"/>
        <v>3.036833711020837</v>
      </c>
      <c r="K95" s="25">
        <f t="shared" si="35"/>
        <v>5.8626133417390678</v>
      </c>
      <c r="L95" s="25">
        <f t="shared" si="34"/>
        <v>3.036833711020837</v>
      </c>
      <c r="M95">
        <v>2.81</v>
      </c>
      <c r="N95">
        <v>2.72</v>
      </c>
      <c r="O95">
        <v>2.5</v>
      </c>
    </row>
    <row r="96" spans="1:15" x14ac:dyDescent="0.25">
      <c r="A96" s="2">
        <v>1.2949999999999999</v>
      </c>
      <c r="B96" s="2">
        <v>422</v>
      </c>
      <c r="C96" s="2">
        <v>6.1</v>
      </c>
      <c r="D96" s="2"/>
      <c r="E96" s="2">
        <v>5</v>
      </c>
      <c r="F96" s="25">
        <f t="shared" si="30"/>
        <v>11.541376712198289</v>
      </c>
      <c r="G96" s="25">
        <f t="shared" si="36"/>
        <v>9.0428649414453961</v>
      </c>
      <c r="H96" s="25">
        <f t="shared" si="31"/>
        <v>8.7532358152069314</v>
      </c>
      <c r="I96" s="25">
        <f t="shared" si="32"/>
        <v>4.1674413164312414</v>
      </c>
      <c r="J96" s="25">
        <f t="shared" si="33"/>
        <v>4.1674413164312414</v>
      </c>
      <c r="K96" s="25">
        <f t="shared" si="35"/>
        <v>8.0452535066240163</v>
      </c>
      <c r="L96" s="25">
        <f t="shared" si="34"/>
        <v>4.1674413164312414</v>
      </c>
      <c r="M96">
        <v>2.81</v>
      </c>
      <c r="N96">
        <v>2.72</v>
      </c>
      <c r="O96">
        <v>2.5</v>
      </c>
    </row>
    <row r="97" spans="1:15" x14ac:dyDescent="0.25">
      <c r="A97" s="2">
        <v>1.2949999999999999</v>
      </c>
      <c r="B97" s="2">
        <v>295</v>
      </c>
      <c r="C97" s="2">
        <v>-22.8</v>
      </c>
      <c r="D97" s="2"/>
      <c r="E97" s="2">
        <v>6</v>
      </c>
      <c r="F97" s="25">
        <f t="shared" si="30"/>
        <v>5.656198470515994</v>
      </c>
      <c r="G97" s="25">
        <f t="shared" si="36"/>
        <v>4.4317276982066325</v>
      </c>
      <c r="H97" s="25">
        <f t="shared" si="31"/>
        <v>4.2897862416804422</v>
      </c>
      <c r="I97" s="25">
        <f t="shared" si="32"/>
        <v>2.0423798466824161</v>
      </c>
      <c r="J97" s="25">
        <f t="shared" si="33"/>
        <v>2.0423798466824161</v>
      </c>
      <c r="K97" s="25">
        <f t="shared" si="35"/>
        <v>3.9428182368386411</v>
      </c>
      <c r="L97" s="25">
        <f t="shared" si="34"/>
        <v>2.0423798466824161</v>
      </c>
      <c r="M97">
        <v>2.81</v>
      </c>
      <c r="N97">
        <v>2.72</v>
      </c>
      <c r="O97">
        <v>2.5</v>
      </c>
    </row>
    <row r="98" spans="1:15" x14ac:dyDescent="0.25">
      <c r="A98" s="2">
        <v>1.2949999999999999</v>
      </c>
      <c r="B98" s="2">
        <v>409</v>
      </c>
      <c r="C98" s="2">
        <v>-1.3</v>
      </c>
      <c r="D98" s="2"/>
      <c r="E98" s="2">
        <v>7</v>
      </c>
      <c r="F98" s="25">
        <f t="shared" si="30"/>
        <v>10.840171600892525</v>
      </c>
      <c r="G98" s="25">
        <f t="shared" si="36"/>
        <v>8.4934588111448921</v>
      </c>
      <c r="H98" s="25">
        <f t="shared" si="31"/>
        <v>8.2214263225317108</v>
      </c>
      <c r="I98" s="25">
        <f t="shared" si="32"/>
        <v>3.9142452528230014</v>
      </c>
      <c r="J98" s="25">
        <f t="shared" si="33"/>
        <v>3.9142452528230014</v>
      </c>
      <c r="K98" s="25">
        <f t="shared" si="35"/>
        <v>7.5564580170328224</v>
      </c>
      <c r="L98" s="25">
        <f t="shared" si="34"/>
        <v>3.9142452528230014</v>
      </c>
      <c r="M98">
        <v>2.81</v>
      </c>
      <c r="N98">
        <v>2.72</v>
      </c>
      <c r="O98">
        <v>2.5</v>
      </c>
    </row>
    <row r="99" spans="1:15" x14ac:dyDescent="0.25">
      <c r="A99" s="2">
        <v>1.2949999999999999</v>
      </c>
      <c r="B99" s="2">
        <v>359</v>
      </c>
      <c r="C99" s="2">
        <v>13.8</v>
      </c>
      <c r="D99" s="2"/>
      <c r="E99" s="2">
        <v>8</v>
      </c>
      <c r="F99" s="25">
        <f t="shared" si="30"/>
        <v>8.3578942845099462</v>
      </c>
      <c r="G99" s="25">
        <f t="shared" si="36"/>
        <v>6.548552316971052</v>
      </c>
      <c r="H99" s="25">
        <f t="shared" si="31"/>
        <v>6.3388122071748265</v>
      </c>
      <c r="I99" s="25">
        <f t="shared" si="32"/>
        <v>3.0179271354012505</v>
      </c>
      <c r="J99" s="25">
        <f t="shared" si="33"/>
        <v>3.0179271354012505</v>
      </c>
      <c r="K99" s="25">
        <f t="shared" si="35"/>
        <v>5.8261141610062754</v>
      </c>
      <c r="L99" s="25">
        <f t="shared" si="34"/>
        <v>3.0179271354012505</v>
      </c>
      <c r="M99">
        <v>2.81</v>
      </c>
      <c r="N99">
        <v>2.72</v>
      </c>
      <c r="O99">
        <v>2.5</v>
      </c>
    </row>
    <row r="100" spans="1:15" x14ac:dyDescent="0.25">
      <c r="A100" s="2">
        <v>1.2949999999999999</v>
      </c>
      <c r="B100" s="2">
        <v>463</v>
      </c>
      <c r="C100" s="2">
        <v>8.9</v>
      </c>
      <c r="D100" s="2"/>
      <c r="E100" s="2">
        <v>9</v>
      </c>
      <c r="F100" s="25">
        <f t="shared" si="30"/>
        <v>13.894072194658881</v>
      </c>
      <c r="G100" s="25">
        <f t="shared" si="36"/>
        <v>10.886241864906687</v>
      </c>
      <c r="H100" s="25">
        <f t="shared" si="31"/>
        <v>10.537572196635654</v>
      </c>
      <c r="I100" s="25">
        <f t="shared" si="32"/>
        <v>5.0169691156776359</v>
      </c>
      <c r="J100" s="25">
        <f t="shared" si="33"/>
        <v>5.0169691156776359</v>
      </c>
      <c r="K100" s="25">
        <f t="shared" si="35"/>
        <v>9.6852685630842412</v>
      </c>
      <c r="L100" s="25">
        <f t="shared" si="34"/>
        <v>5.0169691156776359</v>
      </c>
      <c r="M100">
        <v>2.81</v>
      </c>
      <c r="N100">
        <v>2.72</v>
      </c>
      <c r="O100">
        <v>2.5</v>
      </c>
    </row>
    <row r="101" spans="1:15" x14ac:dyDescent="0.25">
      <c r="A101" s="2">
        <v>1.2949999999999999</v>
      </c>
      <c r="B101" s="2">
        <v>410</v>
      </c>
      <c r="C101" s="2">
        <v>-15.9</v>
      </c>
      <c r="D101" s="2"/>
      <c r="E101" s="2">
        <v>10</v>
      </c>
      <c r="F101" s="25">
        <f t="shared" si="30"/>
        <v>10.901377750957423</v>
      </c>
      <c r="G101" s="25">
        <f t="shared" si="36"/>
        <v>8.5414148706709394</v>
      </c>
      <c r="H101" s="25">
        <f t="shared" si="31"/>
        <v>8.2678464228558575</v>
      </c>
      <c r="I101" s="25">
        <f t="shared" si="32"/>
        <v>3.9363459991170342</v>
      </c>
      <c r="J101" s="25">
        <f t="shared" si="33"/>
        <v>3.9363459991170342</v>
      </c>
      <c r="K101" s="25">
        <f t="shared" si="35"/>
        <v>7.5991235504189847</v>
      </c>
      <c r="L101" s="25">
        <f t="shared" si="34"/>
        <v>3.9363459991170342</v>
      </c>
      <c r="M101">
        <v>2.81</v>
      </c>
      <c r="N101">
        <v>2.72</v>
      </c>
      <c r="O101">
        <v>2.5</v>
      </c>
    </row>
    <row r="102" spans="1:15" x14ac:dyDescent="0.25">
      <c r="A102" s="2">
        <v>1.2949999999999999</v>
      </c>
      <c r="B102" s="2">
        <v>343</v>
      </c>
      <c r="C102" s="2">
        <v>6.2</v>
      </c>
      <c r="D102" s="2"/>
      <c r="E102" s="2">
        <v>11</v>
      </c>
      <c r="F102" s="25">
        <f t="shared" si="30"/>
        <v>7.6251172371514278</v>
      </c>
      <c r="G102" s="25">
        <f t="shared" si="36"/>
        <v>5.9744090378204238</v>
      </c>
      <c r="H102" s="25">
        <f t="shared" si="31"/>
        <v>5.7830578586731507</v>
      </c>
      <c r="I102" s="25">
        <f t="shared" si="32"/>
        <v>2.7533308555079885</v>
      </c>
      <c r="J102" s="25">
        <f t="shared" si="33"/>
        <v>2.7533308555079885</v>
      </c>
      <c r="K102" s="25">
        <f t="shared" si="35"/>
        <v>5.3153105318687048</v>
      </c>
      <c r="L102" s="25">
        <f t="shared" si="34"/>
        <v>2.7533308555079885</v>
      </c>
      <c r="M102">
        <v>2.81</v>
      </c>
      <c r="N102">
        <v>2.72</v>
      </c>
      <c r="O102">
        <v>2.5</v>
      </c>
    </row>
    <row r="103" spans="1:15" x14ac:dyDescent="0.25">
      <c r="A103" s="2">
        <v>1.2949999999999999</v>
      </c>
      <c r="B103" s="2">
        <v>586</v>
      </c>
      <c r="C103" s="2">
        <v>34.9</v>
      </c>
      <c r="D103" s="2"/>
      <c r="E103" s="2">
        <v>12</v>
      </c>
      <c r="F103" s="25">
        <f t="shared" si="30"/>
        <v>22.292122867089454</v>
      </c>
      <c r="G103" s="25">
        <f t="shared" si="36"/>
        <v>17.466257394764526</v>
      </c>
      <c r="H103" s="25">
        <f t="shared" si="31"/>
        <v>16.906839898135061</v>
      </c>
      <c r="I103" s="25">
        <f t="shared" si="32"/>
        <v>8.0493962015018017</v>
      </c>
      <c r="J103" s="25">
        <f t="shared" si="33"/>
        <v>8.0493962015018017</v>
      </c>
      <c r="K103" s="25">
        <f t="shared" si="35"/>
        <v>15.539374906374135</v>
      </c>
      <c r="L103" s="25">
        <f t="shared" si="34"/>
        <v>8.0493962015018017</v>
      </c>
      <c r="M103">
        <v>2.81</v>
      </c>
      <c r="N103">
        <v>2.72</v>
      </c>
      <c r="O103">
        <v>2.5</v>
      </c>
    </row>
    <row r="104" spans="1:15" x14ac:dyDescent="0.25">
      <c r="A104" s="2">
        <v>1.2949999999999999</v>
      </c>
      <c r="B104" s="2">
        <v>302</v>
      </c>
      <c r="C104" s="2">
        <v>6.6</v>
      </c>
      <c r="D104" s="2"/>
      <c r="E104" s="2">
        <v>13</v>
      </c>
      <c r="F104" s="25">
        <f t="shared" si="30"/>
        <v>5.9115983653442807</v>
      </c>
      <c r="G104" s="25">
        <f t="shared" si="36"/>
        <v>4.631837859462399</v>
      </c>
      <c r="H104" s="25">
        <f t="shared" si="31"/>
        <v>4.4834871806895817</v>
      </c>
      <c r="I104" s="25">
        <f t="shared" si="32"/>
        <v>2.1346014334533119</v>
      </c>
      <c r="J104" s="25">
        <f t="shared" si="33"/>
        <v>2.1346014334533119</v>
      </c>
      <c r="K104" s="25">
        <f t="shared" si="35"/>
        <v>4.1208521881338074</v>
      </c>
      <c r="L104" s="25">
        <f t="shared" si="34"/>
        <v>2.1346014334533119</v>
      </c>
      <c r="M104">
        <v>2.81</v>
      </c>
      <c r="N104">
        <v>2.72</v>
      </c>
      <c r="O104">
        <v>2.5</v>
      </c>
    </row>
    <row r="105" spans="1:15" x14ac:dyDescent="0.25">
      <c r="A105" s="2">
        <v>1.2949999999999999</v>
      </c>
      <c r="B105" s="2">
        <v>421</v>
      </c>
      <c r="C105" s="2">
        <v>-22.6</v>
      </c>
      <c r="D105" s="2"/>
      <c r="E105" s="2">
        <v>14</v>
      </c>
      <c r="F105" s="25">
        <f t="shared" si="30"/>
        <v>11.502080373481993</v>
      </c>
      <c r="G105" s="25">
        <f t="shared" si="36"/>
        <v>9.0120755917373003</v>
      </c>
      <c r="H105" s="25">
        <f t="shared" si="31"/>
        <v>8.7234326012546095</v>
      </c>
      <c r="I105" s="25">
        <f t="shared" si="32"/>
        <v>4.1532519186120291</v>
      </c>
      <c r="J105" s="25">
        <f t="shared" si="33"/>
        <v>4.1532519186120291</v>
      </c>
      <c r="K105" s="25">
        <f t="shared" si="35"/>
        <v>8.017860846741371</v>
      </c>
      <c r="L105" s="25">
        <f t="shared" si="34"/>
        <v>4.1532519186120291</v>
      </c>
      <c r="M105">
        <v>2.81</v>
      </c>
      <c r="N105">
        <v>2.72</v>
      </c>
      <c r="O105">
        <v>2.5</v>
      </c>
    </row>
    <row r="106" spans="1:15" x14ac:dyDescent="0.25">
      <c r="A106" s="2">
        <v>1.2949999999999999</v>
      </c>
      <c r="B106" s="2">
        <v>425</v>
      </c>
      <c r="C106" s="2">
        <v>0.4</v>
      </c>
      <c r="D106" s="2"/>
      <c r="E106" s="2">
        <v>15</v>
      </c>
      <c r="F106" s="25">
        <f t="shared" si="30"/>
        <v>11.704837800239044</v>
      </c>
      <c r="G106" s="25">
        <f t="shared" si="36"/>
        <v>9.1709394839540028</v>
      </c>
      <c r="H106" s="25">
        <f t="shared" si="31"/>
        <v>8.8772083261049435</v>
      </c>
      <c r="I106" s="25">
        <f t="shared" si="32"/>
        <v>4.2264649934948162</v>
      </c>
      <c r="J106" s="25">
        <f t="shared" si="33"/>
        <v>4.2264649934948162</v>
      </c>
      <c r="K106" s="25">
        <f t="shared" si="35"/>
        <v>8.1591988291405713</v>
      </c>
      <c r="L106" s="25">
        <f t="shared" si="34"/>
        <v>4.2264649934948162</v>
      </c>
      <c r="M106">
        <v>2.81</v>
      </c>
      <c r="N106">
        <v>2.72</v>
      </c>
      <c r="O106">
        <v>2.5</v>
      </c>
    </row>
    <row r="107" spans="1:15" x14ac:dyDescent="0.25">
      <c r="A107" s="2">
        <v>1.2949999999999999</v>
      </c>
      <c r="B107" s="2">
        <v>452</v>
      </c>
      <c r="C107" s="2">
        <v>15.3</v>
      </c>
      <c r="D107" s="2"/>
      <c r="E107" s="2">
        <v>16</v>
      </c>
      <c r="F107" s="25">
        <f t="shared" si="30"/>
        <v>13.246857980483089</v>
      </c>
      <c r="G107" s="25">
        <f t="shared" si="36"/>
        <v>10.379138520745878</v>
      </c>
      <c r="H107" s="25">
        <f t="shared" si="31"/>
        <v>10.046710596593876</v>
      </c>
      <c r="I107" s="25">
        <f t="shared" si="32"/>
        <v>4.7832684641871577</v>
      </c>
      <c r="J107" s="25">
        <f t="shared" si="33"/>
        <v>4.7832684641871577</v>
      </c>
      <c r="K107" s="25">
        <f t="shared" si="35"/>
        <v>9.2341090042223133</v>
      </c>
      <c r="L107" s="25">
        <f t="shared" si="34"/>
        <v>4.7832684641871577</v>
      </c>
      <c r="M107">
        <v>2.81</v>
      </c>
      <c r="N107">
        <v>2.72</v>
      </c>
      <c r="O107">
        <v>2.5</v>
      </c>
    </row>
    <row r="108" spans="1:15" x14ac:dyDescent="0.25">
      <c r="A108" s="2">
        <v>1.2949999999999999</v>
      </c>
      <c r="B108" s="2">
        <v>536</v>
      </c>
      <c r="C108" s="2">
        <v>31.9</v>
      </c>
      <c r="D108" s="2"/>
      <c r="E108" s="2">
        <v>17</v>
      </c>
      <c r="F108" s="25">
        <f t="shared" si="30"/>
        <v>18.650252203941005</v>
      </c>
      <c r="G108" s="25">
        <f t="shared" si="36"/>
        <v>14.612789791869613</v>
      </c>
      <c r="H108" s="25">
        <f t="shared" si="31"/>
        <v>14.144764496044608</v>
      </c>
      <c r="I108" s="25">
        <f t="shared" si="32"/>
        <v>6.7343639788153551</v>
      </c>
      <c r="J108" s="25">
        <f t="shared" si="33"/>
        <v>6.7343639788153551</v>
      </c>
      <c r="K108" s="25">
        <f t="shared" si="35"/>
        <v>13.000702661805706</v>
      </c>
      <c r="L108" s="25">
        <f t="shared" si="34"/>
        <v>6.7343639788153551</v>
      </c>
      <c r="M108">
        <v>2.81</v>
      </c>
      <c r="N108">
        <v>2.72</v>
      </c>
      <c r="O108">
        <v>2.5</v>
      </c>
    </row>
    <row r="109" spans="1:15" x14ac:dyDescent="0.25">
      <c r="A109" s="2">
        <v>1.2949999999999999</v>
      </c>
      <c r="B109" s="2">
        <v>541</v>
      </c>
      <c r="C109" s="2">
        <v>11.1</v>
      </c>
      <c r="D109" s="2"/>
      <c r="E109" s="2">
        <v>18</v>
      </c>
      <c r="F109" s="25">
        <f t="shared" si="30"/>
        <v>18.970259461603039</v>
      </c>
      <c r="G109" s="25">
        <f t="shared" si="36"/>
        <v>14.863520920701205</v>
      </c>
      <c r="H109" s="25">
        <f t="shared" si="31"/>
        <v>14.387465090500813</v>
      </c>
      <c r="I109" s="25">
        <f t="shared" si="32"/>
        <v>6.8499144456612306</v>
      </c>
      <c r="J109" s="25">
        <f t="shared" si="33"/>
        <v>6.8499144456612306</v>
      </c>
      <c r="K109" s="25">
        <f t="shared" si="35"/>
        <v>13.223773061122069</v>
      </c>
      <c r="L109" s="25">
        <f t="shared" si="34"/>
        <v>6.8499144456612306</v>
      </c>
      <c r="M109">
        <v>2.81</v>
      </c>
      <c r="N109">
        <v>2.72</v>
      </c>
      <c r="O109">
        <v>2.5</v>
      </c>
    </row>
    <row r="110" spans="1:15" x14ac:dyDescent="0.25">
      <c r="A110" s="2">
        <v>1.2949999999999999</v>
      </c>
      <c r="B110" s="2">
        <v>473</v>
      </c>
      <c r="C110" s="2">
        <v>12.8</v>
      </c>
      <c r="D110" s="2"/>
      <c r="E110" s="2">
        <v>19</v>
      </c>
      <c r="F110" s="25">
        <f t="shared" si="30"/>
        <v>14.503358786276769</v>
      </c>
      <c r="G110" s="25">
        <f t="shared" si="36"/>
        <v>11.363628271747636</v>
      </c>
      <c r="H110" s="25">
        <f t="shared" si="31"/>
        <v>10.999668647385612</v>
      </c>
      <c r="I110" s="25">
        <f t="shared" si="32"/>
        <v>5.2369745949868989</v>
      </c>
      <c r="J110" s="25">
        <f t="shared" si="33"/>
        <v>5.2369745949868989</v>
      </c>
      <c r="K110" s="25">
        <f t="shared" si="35"/>
        <v>10.109989565611775</v>
      </c>
      <c r="L110" s="25">
        <f t="shared" si="34"/>
        <v>5.2369745949868989</v>
      </c>
      <c r="M110">
        <v>2.81</v>
      </c>
      <c r="N110">
        <v>2.72</v>
      </c>
      <c r="O110">
        <v>2.5</v>
      </c>
    </row>
    <row r="111" spans="1:15" x14ac:dyDescent="0.25">
      <c r="A111" s="2">
        <v>1.2949999999999999</v>
      </c>
      <c r="B111" s="2">
        <v>300</v>
      </c>
      <c r="C111" s="2">
        <v>-1.6</v>
      </c>
      <c r="D111" s="2"/>
      <c r="E111" s="2">
        <v>20</v>
      </c>
      <c r="F111" s="25">
        <f t="shared" si="30"/>
        <v>5.8322486783533227</v>
      </c>
      <c r="G111" s="25">
        <f t="shared" si="36"/>
        <v>4.5696660301825514</v>
      </c>
      <c r="H111" s="25">
        <f t="shared" si="31"/>
        <v>4.4233066199631823</v>
      </c>
      <c r="I111" s="25">
        <f t="shared" si="32"/>
        <v>2.1059492914898237</v>
      </c>
      <c r="J111" s="25">
        <f t="shared" si="33"/>
        <v>2.1059492914898237</v>
      </c>
      <c r="K111" s="25">
        <f t="shared" si="35"/>
        <v>4.0655391727602774</v>
      </c>
      <c r="L111" s="25">
        <f t="shared" si="34"/>
        <v>2.1059492914898237</v>
      </c>
      <c r="M111">
        <v>2.81</v>
      </c>
      <c r="N111">
        <v>2.72</v>
      </c>
      <c r="O111">
        <v>2.5</v>
      </c>
    </row>
    <row r="112" spans="1:15" x14ac:dyDescent="0.25">
      <c r="A112" s="2">
        <v>1.2949999999999999</v>
      </c>
      <c r="B112" s="2">
        <v>246</v>
      </c>
      <c r="C112" s="2">
        <v>3.8</v>
      </c>
      <c r="D112" s="2"/>
      <c r="E112" s="2">
        <v>21</v>
      </c>
      <c r="F112" s="25">
        <f t="shared" si="30"/>
        <v>3.9220160799795294</v>
      </c>
      <c r="G112" s="25">
        <f t="shared" si="36"/>
        <v>3.0729663014939157</v>
      </c>
      <c r="H112" s="25">
        <f t="shared" si="31"/>
        <v>2.9745438932610151</v>
      </c>
      <c r="I112" s="25">
        <f t="shared" si="32"/>
        <v>1.4161890962400785</v>
      </c>
      <c r="J112" s="25">
        <f t="shared" si="33"/>
        <v>1.4161890962400785</v>
      </c>
      <c r="K112" s="25">
        <f t="shared" si="35"/>
        <v>2.7339557842472559</v>
      </c>
      <c r="L112" s="25">
        <f t="shared" si="34"/>
        <v>1.4161890962400785</v>
      </c>
      <c r="M112">
        <v>2.81</v>
      </c>
      <c r="N112">
        <v>2.72</v>
      </c>
      <c r="O112">
        <v>2.5</v>
      </c>
    </row>
    <row r="114" spans="1:7" x14ac:dyDescent="0.25">
      <c r="A114" s="4" t="s">
        <v>84</v>
      </c>
      <c r="B114" s="26" t="s">
        <v>85</v>
      </c>
      <c r="C114" s="26" t="s">
        <v>86</v>
      </c>
      <c r="D114" s="26" t="s">
        <v>87</v>
      </c>
      <c r="E114" s="26" t="s">
        <v>88</v>
      </c>
      <c r="F114" s="15" t="s">
        <v>89</v>
      </c>
      <c r="G114" s="15" t="s">
        <v>90</v>
      </c>
    </row>
    <row r="115" spans="1:7" x14ac:dyDescent="0.25">
      <c r="A115" s="2">
        <v>2498</v>
      </c>
      <c r="B115" s="2">
        <v>6918</v>
      </c>
      <c r="C115" s="2">
        <v>6918</v>
      </c>
      <c r="D115" s="2">
        <v>6918</v>
      </c>
      <c r="E115" s="2">
        <v>6918</v>
      </c>
      <c r="F115" s="2">
        <v>6918</v>
      </c>
      <c r="G115" s="2">
        <v>6918</v>
      </c>
    </row>
    <row r="116" spans="1:7" x14ac:dyDescent="0.25">
      <c r="A116" s="2">
        <v>2498</v>
      </c>
      <c r="B116" s="2">
        <v>6918</v>
      </c>
      <c r="C116" s="2">
        <v>6918</v>
      </c>
      <c r="D116" s="2">
        <v>6918</v>
      </c>
      <c r="E116" s="2">
        <v>6918</v>
      </c>
      <c r="F116" s="2">
        <v>6918</v>
      </c>
      <c r="G116" s="2">
        <v>6918</v>
      </c>
    </row>
    <row r="117" spans="1:7" x14ac:dyDescent="0.25">
      <c r="A117" s="2">
        <v>2498</v>
      </c>
      <c r="B117" s="2">
        <v>6918</v>
      </c>
      <c r="C117" s="2">
        <v>6918</v>
      </c>
      <c r="D117" s="2">
        <v>6918</v>
      </c>
      <c r="E117" s="2">
        <v>6918</v>
      </c>
      <c r="F117" s="2">
        <v>6918</v>
      </c>
      <c r="G117" s="2">
        <v>6918</v>
      </c>
    </row>
    <row r="118" spans="1:7" x14ac:dyDescent="0.25">
      <c r="A118" s="2">
        <v>2498</v>
      </c>
      <c r="B118" s="2">
        <v>6918</v>
      </c>
      <c r="C118" s="2">
        <v>6918</v>
      </c>
      <c r="D118" s="2">
        <v>6918</v>
      </c>
      <c r="E118" s="2">
        <v>6918</v>
      </c>
      <c r="F118" s="2">
        <v>6918</v>
      </c>
      <c r="G118" s="2">
        <v>6918</v>
      </c>
    </row>
    <row r="119" spans="1:7" x14ac:dyDescent="0.25">
      <c r="A119" s="2">
        <v>2498</v>
      </c>
      <c r="B119" s="2">
        <v>6918</v>
      </c>
      <c r="C119" s="2">
        <v>6918</v>
      </c>
      <c r="D119" s="2">
        <v>6918</v>
      </c>
      <c r="E119" s="2">
        <v>6918</v>
      </c>
      <c r="F119" s="2">
        <v>6918</v>
      </c>
      <c r="G119" s="2">
        <v>6918</v>
      </c>
    </row>
    <row r="120" spans="1:7" x14ac:dyDescent="0.25">
      <c r="A120" s="2">
        <v>2498</v>
      </c>
      <c r="B120" s="2">
        <v>6918</v>
      </c>
      <c r="C120" s="2">
        <v>6918</v>
      </c>
      <c r="D120" s="2">
        <v>6918</v>
      </c>
      <c r="E120" s="2">
        <v>6918</v>
      </c>
      <c r="F120" s="2">
        <v>6918</v>
      </c>
      <c r="G120" s="2">
        <v>6918</v>
      </c>
    </row>
    <row r="121" spans="1:7" x14ac:dyDescent="0.25">
      <c r="A121" s="2">
        <v>2498</v>
      </c>
      <c r="B121" s="2">
        <v>6918</v>
      </c>
      <c r="C121" s="2">
        <v>6918</v>
      </c>
      <c r="D121" s="2">
        <v>6918</v>
      </c>
      <c r="E121" s="2">
        <v>6918</v>
      </c>
      <c r="F121" s="2">
        <v>6918</v>
      </c>
      <c r="G121" s="2">
        <v>6918</v>
      </c>
    </row>
    <row r="122" spans="1:7" x14ac:dyDescent="0.25">
      <c r="A122" s="2">
        <v>2498</v>
      </c>
      <c r="B122" s="2">
        <v>6918</v>
      </c>
      <c r="C122" s="2">
        <v>6918</v>
      </c>
      <c r="D122" s="2">
        <v>6918</v>
      </c>
      <c r="E122" s="2">
        <v>6918</v>
      </c>
      <c r="F122" s="2">
        <v>6918</v>
      </c>
      <c r="G122" s="2">
        <v>6918</v>
      </c>
    </row>
    <row r="123" spans="1:7" x14ac:dyDescent="0.25">
      <c r="A123" s="2">
        <v>2498</v>
      </c>
      <c r="B123" s="2">
        <v>6918</v>
      </c>
      <c r="C123" s="2">
        <v>6918</v>
      </c>
      <c r="D123" s="2">
        <v>6918</v>
      </c>
      <c r="E123" s="2">
        <v>6918</v>
      </c>
      <c r="F123" s="2">
        <v>6918</v>
      </c>
      <c r="G123" s="2">
        <v>6918</v>
      </c>
    </row>
    <row r="124" spans="1:7" x14ac:dyDescent="0.25">
      <c r="A124" s="2">
        <v>2498</v>
      </c>
      <c r="B124" s="2">
        <v>6918</v>
      </c>
      <c r="C124" s="2">
        <v>6918</v>
      </c>
      <c r="D124" s="2">
        <v>6918</v>
      </c>
      <c r="E124" s="2">
        <v>6918</v>
      </c>
      <c r="F124" s="2">
        <v>6918</v>
      </c>
      <c r="G124" s="2">
        <v>6918</v>
      </c>
    </row>
    <row r="125" spans="1:7" x14ac:dyDescent="0.25">
      <c r="A125" s="2">
        <v>2498</v>
      </c>
      <c r="B125" s="2">
        <v>6918</v>
      </c>
      <c r="C125" s="2">
        <v>6918</v>
      </c>
      <c r="D125" s="2">
        <v>6918</v>
      </c>
      <c r="E125" s="2">
        <v>6918</v>
      </c>
      <c r="F125" s="2">
        <v>6918</v>
      </c>
      <c r="G125" s="2">
        <v>6918</v>
      </c>
    </row>
    <row r="126" spans="1:7" x14ac:dyDescent="0.25">
      <c r="A126" s="2">
        <v>2498</v>
      </c>
      <c r="B126" s="2">
        <v>6918</v>
      </c>
      <c r="C126" s="2">
        <v>6918</v>
      </c>
      <c r="D126" s="2">
        <v>6918</v>
      </c>
      <c r="E126" s="2">
        <v>6918</v>
      </c>
      <c r="F126" s="2">
        <v>6918</v>
      </c>
      <c r="G126" s="2">
        <v>6918</v>
      </c>
    </row>
    <row r="127" spans="1:7" x14ac:dyDescent="0.25">
      <c r="A127" s="2">
        <v>2498</v>
      </c>
      <c r="B127" s="2">
        <v>6918</v>
      </c>
      <c r="C127" s="2">
        <v>6918</v>
      </c>
      <c r="D127" s="2">
        <v>6918</v>
      </c>
      <c r="E127" s="2">
        <v>6918</v>
      </c>
      <c r="F127" s="2">
        <v>6918</v>
      </c>
      <c r="G127" s="2">
        <v>6918</v>
      </c>
    </row>
    <row r="128" spans="1:7" x14ac:dyDescent="0.25">
      <c r="A128" s="2">
        <v>2498</v>
      </c>
      <c r="B128" s="2">
        <v>6918</v>
      </c>
      <c r="C128" s="2">
        <v>6918</v>
      </c>
      <c r="D128" s="2">
        <v>6918</v>
      </c>
      <c r="E128" s="2">
        <v>6918</v>
      </c>
      <c r="F128" s="2">
        <v>6918</v>
      </c>
      <c r="G128" s="2">
        <v>6918</v>
      </c>
    </row>
    <row r="129" spans="1:7" x14ac:dyDescent="0.25">
      <c r="A129" s="2">
        <v>2498</v>
      </c>
      <c r="B129" s="2">
        <v>6918</v>
      </c>
      <c r="C129" s="2">
        <v>6918</v>
      </c>
      <c r="D129" s="2">
        <v>6918</v>
      </c>
      <c r="E129" s="2">
        <v>6918</v>
      </c>
      <c r="F129" s="2">
        <v>6918</v>
      </c>
      <c r="G129" s="2">
        <v>6918</v>
      </c>
    </row>
    <row r="130" spans="1:7" x14ac:dyDescent="0.25">
      <c r="A130" s="2">
        <v>2498</v>
      </c>
      <c r="B130" s="2">
        <v>6918</v>
      </c>
      <c r="C130" s="2">
        <v>6918</v>
      </c>
      <c r="D130" s="2">
        <v>6918</v>
      </c>
      <c r="E130" s="2">
        <v>6918</v>
      </c>
      <c r="F130" s="2">
        <v>6918</v>
      </c>
      <c r="G130" s="2">
        <v>6918</v>
      </c>
    </row>
    <row r="131" spans="1:7" x14ac:dyDescent="0.25">
      <c r="A131" s="2">
        <v>2498</v>
      </c>
      <c r="B131" s="2">
        <v>6918</v>
      </c>
      <c r="C131" s="2">
        <v>6918</v>
      </c>
      <c r="D131" s="2">
        <v>6918</v>
      </c>
      <c r="E131" s="2">
        <v>6918</v>
      </c>
      <c r="F131" s="2">
        <v>6918</v>
      </c>
      <c r="G131" s="2">
        <v>6918</v>
      </c>
    </row>
    <row r="132" spans="1:7" x14ac:dyDescent="0.25">
      <c r="A132" s="2">
        <v>2498</v>
      </c>
      <c r="B132" s="2">
        <v>6918</v>
      </c>
      <c r="C132" s="2">
        <v>6918</v>
      </c>
      <c r="D132" s="2">
        <v>6918</v>
      </c>
      <c r="E132" s="2">
        <v>6918</v>
      </c>
      <c r="F132" s="2">
        <v>6918</v>
      </c>
      <c r="G132" s="2">
        <v>6918</v>
      </c>
    </row>
    <row r="133" spans="1:7" x14ac:dyDescent="0.25">
      <c r="A133" s="2">
        <v>2498</v>
      </c>
      <c r="B133" s="2">
        <v>6918</v>
      </c>
      <c r="C133" s="2">
        <v>6918</v>
      </c>
      <c r="D133" s="2">
        <v>6918</v>
      </c>
      <c r="E133" s="2">
        <v>6918</v>
      </c>
      <c r="F133" s="2">
        <v>6918</v>
      </c>
      <c r="G133" s="2">
        <v>6918</v>
      </c>
    </row>
    <row r="134" spans="1:7" x14ac:dyDescent="0.25">
      <c r="A134" s="2">
        <v>2498</v>
      </c>
      <c r="B134" s="2">
        <v>6918</v>
      </c>
      <c r="C134" s="2">
        <v>6918</v>
      </c>
      <c r="D134" s="2">
        <v>6918</v>
      </c>
      <c r="E134" s="2">
        <v>6918</v>
      </c>
      <c r="F134" s="2">
        <v>6918</v>
      </c>
      <c r="G134" s="2">
        <v>6918</v>
      </c>
    </row>
    <row r="135" spans="1:7" x14ac:dyDescent="0.25">
      <c r="A135" s="2">
        <v>2498</v>
      </c>
      <c r="B135" s="2">
        <v>6918</v>
      </c>
      <c r="C135" s="2">
        <v>6918</v>
      </c>
      <c r="D135" s="2">
        <v>6918</v>
      </c>
      <c r="E135" s="2">
        <v>6918</v>
      </c>
      <c r="F135" s="2">
        <v>6918</v>
      </c>
      <c r="G135" s="2">
        <v>6918</v>
      </c>
    </row>
    <row r="138" spans="1:7" x14ac:dyDescent="0.25">
      <c r="A138" s="3" t="s">
        <v>73</v>
      </c>
      <c r="B138" s="4" t="s">
        <v>74</v>
      </c>
      <c r="C138" s="4" t="s">
        <v>76</v>
      </c>
      <c r="D138" s="4" t="s">
        <v>75</v>
      </c>
      <c r="E138" s="4" t="s">
        <v>94</v>
      </c>
      <c r="F138" s="26" t="s">
        <v>85</v>
      </c>
    </row>
    <row r="139" spans="1:7" x14ac:dyDescent="0.25">
      <c r="A139" s="2">
        <v>1</v>
      </c>
      <c r="B139" s="2">
        <v>1.2949999999999999</v>
      </c>
      <c r="C139" s="2">
        <v>451</v>
      </c>
      <c r="D139" s="2">
        <v>2498</v>
      </c>
      <c r="E139" s="2">
        <v>-11.6</v>
      </c>
      <c r="F139" s="2">
        <v>6918</v>
      </c>
    </row>
    <row r="140" spans="1:7" x14ac:dyDescent="0.25">
      <c r="A140" s="2">
        <v>2</v>
      </c>
      <c r="B140" s="2">
        <v>1.2949999999999999</v>
      </c>
      <c r="C140" s="2">
        <v>325</v>
      </c>
      <c r="D140" s="2">
        <v>2498</v>
      </c>
      <c r="E140" s="2">
        <v>30.4</v>
      </c>
      <c r="F140" s="2">
        <v>6918</v>
      </c>
    </row>
    <row r="141" spans="1:7" x14ac:dyDescent="0.25">
      <c r="A141" s="2">
        <v>3</v>
      </c>
      <c r="B141" s="2">
        <v>1.2949999999999999</v>
      </c>
      <c r="C141" s="2">
        <v>291</v>
      </c>
      <c r="D141" s="2">
        <v>2498</v>
      </c>
      <c r="E141" s="2">
        <v>-5.8</v>
      </c>
      <c r="F141" s="2">
        <v>6918</v>
      </c>
    </row>
    <row r="142" spans="1:7" x14ac:dyDescent="0.25">
      <c r="A142" s="2">
        <v>4</v>
      </c>
      <c r="B142" s="2">
        <v>1.2949999999999999</v>
      </c>
      <c r="C142" s="2">
        <v>360</v>
      </c>
      <c r="D142" s="2">
        <v>2498</v>
      </c>
      <c r="E142" s="2">
        <v>19.2</v>
      </c>
      <c r="F142" s="2">
        <v>6918</v>
      </c>
    </row>
    <row r="143" spans="1:7" x14ac:dyDescent="0.25">
      <c r="A143" s="2">
        <v>5</v>
      </c>
      <c r="B143" s="2">
        <v>1.2949999999999999</v>
      </c>
      <c r="C143" s="2">
        <v>422</v>
      </c>
      <c r="D143" s="2">
        <v>2498</v>
      </c>
      <c r="E143" s="2">
        <v>6.1</v>
      </c>
      <c r="F143" s="2">
        <v>6918</v>
      </c>
    </row>
    <row r="144" spans="1:7" x14ac:dyDescent="0.25">
      <c r="A144" s="2">
        <v>6</v>
      </c>
      <c r="B144" s="2">
        <v>1.2949999999999999</v>
      </c>
      <c r="C144" s="2">
        <v>295</v>
      </c>
      <c r="D144" s="2">
        <v>2498</v>
      </c>
      <c r="E144" s="2">
        <v>-22.8</v>
      </c>
      <c r="F144" s="2">
        <v>6918</v>
      </c>
    </row>
    <row r="145" spans="1:6" x14ac:dyDescent="0.25">
      <c r="A145" s="2">
        <v>7</v>
      </c>
      <c r="B145" s="2">
        <v>1.2949999999999999</v>
      </c>
      <c r="C145" s="2">
        <v>409</v>
      </c>
      <c r="D145" s="2">
        <v>2498</v>
      </c>
      <c r="E145" s="2">
        <v>-1.3</v>
      </c>
      <c r="F145" s="2">
        <v>6918</v>
      </c>
    </row>
    <row r="146" spans="1:6" x14ac:dyDescent="0.25">
      <c r="A146" s="2">
        <v>8</v>
      </c>
      <c r="B146" s="2">
        <v>1.2949999999999999</v>
      </c>
      <c r="C146" s="2">
        <v>359</v>
      </c>
      <c r="D146" s="2">
        <v>2498</v>
      </c>
      <c r="E146" s="2">
        <v>13.8</v>
      </c>
      <c r="F146" s="2">
        <v>6918</v>
      </c>
    </row>
    <row r="147" spans="1:6" x14ac:dyDescent="0.25">
      <c r="A147" s="2">
        <v>9</v>
      </c>
      <c r="B147" s="2">
        <v>1.2949999999999999</v>
      </c>
      <c r="C147" s="2">
        <v>463</v>
      </c>
      <c r="D147" s="2">
        <v>2498</v>
      </c>
      <c r="E147" s="2">
        <v>8.9</v>
      </c>
      <c r="F147" s="2">
        <v>6918</v>
      </c>
    </row>
    <row r="148" spans="1:6" x14ac:dyDescent="0.25">
      <c r="A148" s="2">
        <v>10</v>
      </c>
      <c r="B148" s="2">
        <v>1.2949999999999999</v>
      </c>
      <c r="C148" s="2">
        <v>410</v>
      </c>
      <c r="D148" s="2">
        <v>2498</v>
      </c>
      <c r="E148" s="2">
        <v>-15.9</v>
      </c>
      <c r="F148" s="2">
        <v>6918</v>
      </c>
    </row>
    <row r="149" spans="1:6" x14ac:dyDescent="0.25">
      <c r="A149" s="2">
        <v>11</v>
      </c>
      <c r="B149" s="2">
        <v>1.2949999999999999</v>
      </c>
      <c r="C149" s="2">
        <v>343</v>
      </c>
      <c r="D149" s="2">
        <v>2498</v>
      </c>
      <c r="E149" s="2">
        <v>6.2</v>
      </c>
      <c r="F149" s="2">
        <v>6918</v>
      </c>
    </row>
    <row r="150" spans="1:6" x14ac:dyDescent="0.25">
      <c r="A150" s="2">
        <v>12</v>
      </c>
      <c r="B150" s="2">
        <v>1.2949999999999999</v>
      </c>
      <c r="C150" s="2">
        <v>586</v>
      </c>
      <c r="D150" s="2">
        <v>2498</v>
      </c>
      <c r="E150" s="2">
        <v>34.9</v>
      </c>
      <c r="F150" s="2">
        <v>6918</v>
      </c>
    </row>
    <row r="151" spans="1:6" x14ac:dyDescent="0.25">
      <c r="A151" s="2">
        <v>13</v>
      </c>
      <c r="B151" s="2">
        <v>1.2949999999999999</v>
      </c>
      <c r="C151" s="2">
        <v>302</v>
      </c>
      <c r="D151" s="2">
        <v>2498</v>
      </c>
      <c r="E151" s="2">
        <v>6.6</v>
      </c>
      <c r="F151" s="2">
        <v>6918</v>
      </c>
    </row>
    <row r="152" spans="1:6" x14ac:dyDescent="0.25">
      <c r="A152" s="2">
        <v>14</v>
      </c>
      <c r="B152" s="2">
        <v>1.2949999999999999</v>
      </c>
      <c r="C152" s="2">
        <v>421</v>
      </c>
      <c r="D152" s="2">
        <v>2498</v>
      </c>
      <c r="E152" s="2">
        <v>-22.6</v>
      </c>
      <c r="F152" s="2">
        <v>6918</v>
      </c>
    </row>
    <row r="153" spans="1:6" x14ac:dyDescent="0.25">
      <c r="A153" s="2">
        <v>15</v>
      </c>
      <c r="B153" s="2">
        <v>1.2949999999999999</v>
      </c>
      <c r="C153" s="2">
        <v>425</v>
      </c>
      <c r="D153" s="2">
        <v>2498</v>
      </c>
      <c r="E153" s="2">
        <v>0.4</v>
      </c>
      <c r="F153" s="2">
        <v>6918</v>
      </c>
    </row>
    <row r="154" spans="1:6" x14ac:dyDescent="0.25">
      <c r="A154" s="2">
        <v>16</v>
      </c>
      <c r="B154" s="2">
        <v>1.2949999999999999</v>
      </c>
      <c r="C154" s="2">
        <v>542</v>
      </c>
      <c r="D154" s="2">
        <v>2498</v>
      </c>
      <c r="E154" s="2">
        <v>15.3</v>
      </c>
      <c r="F154" s="2">
        <v>6918</v>
      </c>
    </row>
    <row r="155" spans="1:6" x14ac:dyDescent="0.25">
      <c r="A155" s="2">
        <v>17</v>
      </c>
      <c r="B155" s="2">
        <v>1.2949999999999999</v>
      </c>
      <c r="C155" s="2">
        <v>536</v>
      </c>
      <c r="D155" s="2">
        <v>2498</v>
      </c>
      <c r="E155" s="2">
        <v>31.9</v>
      </c>
      <c r="F155" s="2">
        <v>6918</v>
      </c>
    </row>
    <row r="156" spans="1:6" x14ac:dyDescent="0.25">
      <c r="A156" s="2">
        <v>18</v>
      </c>
      <c r="B156" s="2">
        <v>1.2949999999999999</v>
      </c>
      <c r="C156" s="2">
        <v>541</v>
      </c>
      <c r="D156" s="2">
        <v>2498</v>
      </c>
      <c r="E156" s="2">
        <v>11.1</v>
      </c>
      <c r="F156" s="2">
        <v>6918</v>
      </c>
    </row>
    <row r="157" spans="1:6" x14ac:dyDescent="0.25">
      <c r="A157" s="2">
        <v>19</v>
      </c>
      <c r="B157" s="2">
        <v>1.2949999999999999</v>
      </c>
      <c r="C157" s="2">
        <v>473</v>
      </c>
      <c r="D157" s="2">
        <v>2498</v>
      </c>
      <c r="E157" s="2">
        <v>12.8</v>
      </c>
      <c r="F157" s="2">
        <v>6918</v>
      </c>
    </row>
    <row r="158" spans="1:6" x14ac:dyDescent="0.25">
      <c r="A158" s="2">
        <v>20</v>
      </c>
      <c r="B158" s="2">
        <v>1.2949999999999999</v>
      </c>
      <c r="C158" s="2">
        <v>300</v>
      </c>
      <c r="D158" s="2">
        <v>2498</v>
      </c>
      <c r="E158" s="2">
        <v>-1.6</v>
      </c>
      <c r="F158" s="2">
        <v>6918</v>
      </c>
    </row>
    <row r="159" spans="1:6" x14ac:dyDescent="0.25">
      <c r="A159" s="2">
        <v>21</v>
      </c>
      <c r="B159" s="2">
        <v>1.2949999999999999</v>
      </c>
      <c r="C159" s="2">
        <v>246</v>
      </c>
      <c r="D159" s="2">
        <v>2498</v>
      </c>
      <c r="E159" s="2">
        <v>3.8</v>
      </c>
      <c r="F159" s="2">
        <v>6918</v>
      </c>
    </row>
    <row r="161" spans="1:7" x14ac:dyDescent="0.25">
      <c r="A161" s="32" t="s">
        <v>96</v>
      </c>
      <c r="B161" s="33"/>
      <c r="C161" s="33"/>
      <c r="D161" s="34"/>
      <c r="E161" s="32" t="s">
        <v>95</v>
      </c>
      <c r="F161" s="33"/>
      <c r="G161" s="34"/>
    </row>
    <row r="162" spans="1:7" x14ac:dyDescent="0.25">
      <c r="A162" s="3" t="s">
        <v>73</v>
      </c>
      <c r="B162" s="4" t="s">
        <v>91</v>
      </c>
      <c r="C162" s="4" t="s">
        <v>92</v>
      </c>
      <c r="D162" s="4" t="s">
        <v>93</v>
      </c>
      <c r="E162" s="4" t="s">
        <v>91</v>
      </c>
      <c r="F162" s="4" t="s">
        <v>92</v>
      </c>
      <c r="G162" s="4" t="s">
        <v>93</v>
      </c>
    </row>
    <row r="163" spans="1:7" x14ac:dyDescent="0.25">
      <c r="A163" s="2">
        <v>1</v>
      </c>
      <c r="B163" s="25">
        <f t="shared" ref="B163:B183" si="37">C139+(2*E139*D139/(C139*B139))</f>
        <v>351.77202955251732</v>
      </c>
      <c r="C163" s="25">
        <f t="shared" ref="C163:C183" si="38">D139+(B163^2*B139^2/(8*D139))</f>
        <v>2508.384359738267</v>
      </c>
      <c r="D163" s="25">
        <f t="shared" ref="D163:D183" si="39">D139+B139*(B163^2*B139/(8*D139)-E139)</f>
        <v>2523.4063597382669</v>
      </c>
      <c r="E163" s="25">
        <f t="shared" ref="E163:E183" si="40">C139+(2*E139*F139/(C139*B139))</f>
        <v>176.1965173916393</v>
      </c>
      <c r="F163" s="25">
        <f t="shared" ref="F163:F183" si="41">F139+(B163^2*B139^2/(8*F139))</f>
        <v>6921.749657505954</v>
      </c>
      <c r="G163" s="25">
        <f t="shared" ref="G163:G183" si="42">F139+B139*(B163^2*B139/(8*F139)-E139)</f>
        <v>6936.771657505954</v>
      </c>
    </row>
    <row r="164" spans="1:7" x14ac:dyDescent="0.25">
      <c r="A164" s="2">
        <v>2</v>
      </c>
      <c r="B164" s="25">
        <f t="shared" si="37"/>
        <v>685.8634392634392</v>
      </c>
      <c r="C164" s="25">
        <f t="shared" si="38"/>
        <v>2537.4759346746987</v>
      </c>
      <c r="D164" s="25">
        <f t="shared" si="39"/>
        <v>2498.1079346746988</v>
      </c>
      <c r="E164" s="25">
        <f t="shared" si="40"/>
        <v>1324.3808137808137</v>
      </c>
      <c r="F164" s="25">
        <f t="shared" si="41"/>
        <v>6932.254247588522</v>
      </c>
      <c r="G164" s="25">
        <f t="shared" si="42"/>
        <v>6892.8862475885226</v>
      </c>
    </row>
    <row r="165" spans="1:7" x14ac:dyDescent="0.25">
      <c r="A165" s="2">
        <v>3</v>
      </c>
      <c r="B165" s="25">
        <f t="shared" si="37"/>
        <v>214.10684764293012</v>
      </c>
      <c r="C165" s="25">
        <f t="shared" si="38"/>
        <v>2501.8469649582512</v>
      </c>
      <c r="D165" s="25">
        <f t="shared" si="39"/>
        <v>2509.3579649582512</v>
      </c>
      <c r="E165" s="25">
        <f t="shared" si="40"/>
        <v>78.050909525136291</v>
      </c>
      <c r="F165" s="25">
        <f t="shared" si="41"/>
        <v>6919.3890891103947</v>
      </c>
      <c r="G165" s="25">
        <f t="shared" si="42"/>
        <v>6926.9000891103951</v>
      </c>
    </row>
    <row r="166" spans="1:7" x14ac:dyDescent="0.25">
      <c r="A166" s="2">
        <v>4</v>
      </c>
      <c r="B166" s="25">
        <f t="shared" si="37"/>
        <v>565.75546975546979</v>
      </c>
      <c r="C166" s="25">
        <f t="shared" si="38"/>
        <v>2524.8605337692375</v>
      </c>
      <c r="D166" s="25">
        <f t="shared" si="39"/>
        <v>2499.9965337692374</v>
      </c>
      <c r="E166" s="25">
        <f t="shared" si="40"/>
        <v>929.82239382239391</v>
      </c>
      <c r="F166" s="25">
        <f t="shared" si="41"/>
        <v>6927.6989900774151</v>
      </c>
      <c r="G166" s="25">
        <f t="shared" si="42"/>
        <v>6902.8349900774147</v>
      </c>
    </row>
    <row r="167" spans="1:7" x14ac:dyDescent="0.25">
      <c r="A167" s="2">
        <v>5</v>
      </c>
      <c r="B167" s="25">
        <f t="shared" si="37"/>
        <v>477.76607074237404</v>
      </c>
      <c r="C167" s="25">
        <f t="shared" si="38"/>
        <v>2517.1552456008699</v>
      </c>
      <c r="D167" s="25">
        <f t="shared" si="39"/>
        <v>2509.2557456008699</v>
      </c>
      <c r="E167" s="25">
        <f t="shared" si="40"/>
        <v>576.43942249629458</v>
      </c>
      <c r="F167" s="25">
        <f t="shared" si="41"/>
        <v>6924.9167105393135</v>
      </c>
      <c r="G167" s="25">
        <f t="shared" si="42"/>
        <v>6917.017210539314</v>
      </c>
    </row>
    <row r="168" spans="1:7" x14ac:dyDescent="0.25">
      <c r="A168" s="2">
        <v>6</v>
      </c>
      <c r="B168" s="25">
        <f t="shared" si="37"/>
        <v>-3.1710621032655126</v>
      </c>
      <c r="C168" s="25">
        <f t="shared" si="38"/>
        <v>2498.0008438526347</v>
      </c>
      <c r="D168" s="25">
        <f t="shared" si="39"/>
        <v>2527.526843852635</v>
      </c>
      <c r="E168" s="25">
        <f t="shared" si="40"/>
        <v>-530.75957070872323</v>
      </c>
      <c r="F168" s="25">
        <f t="shared" si="41"/>
        <v>6918.0003047042328</v>
      </c>
      <c r="G168" s="25">
        <f t="shared" si="42"/>
        <v>6947.5263047042326</v>
      </c>
    </row>
    <row r="169" spans="1:7" x14ac:dyDescent="0.25">
      <c r="A169" s="2">
        <v>7</v>
      </c>
      <c r="B169" s="25">
        <f t="shared" si="37"/>
        <v>396.73767830002549</v>
      </c>
      <c r="C169" s="25">
        <f t="shared" si="38"/>
        <v>2511.2088196610662</v>
      </c>
      <c r="D169" s="25">
        <f t="shared" si="39"/>
        <v>2512.8923196610663</v>
      </c>
      <c r="E169" s="25">
        <f t="shared" si="40"/>
        <v>375.04053582048692</v>
      </c>
      <c r="F169" s="25">
        <f t="shared" si="41"/>
        <v>6922.7695333208067</v>
      </c>
      <c r="G169" s="25">
        <f t="shared" si="42"/>
        <v>6924.4530333208068</v>
      </c>
    </row>
    <row r="170" spans="1:7" x14ac:dyDescent="0.25">
      <c r="A170" s="2">
        <v>8</v>
      </c>
      <c r="B170" s="25">
        <f t="shared" si="37"/>
        <v>507.29868467751476</v>
      </c>
      <c r="C170" s="25">
        <f t="shared" si="38"/>
        <v>2519.596560404892</v>
      </c>
      <c r="D170" s="25">
        <f t="shared" si="39"/>
        <v>2501.7255604048919</v>
      </c>
      <c r="E170" s="25">
        <f t="shared" si="40"/>
        <v>769.70068078424629</v>
      </c>
      <c r="F170" s="25">
        <f t="shared" si="41"/>
        <v>6925.7982376252412</v>
      </c>
      <c r="G170" s="25">
        <f t="shared" si="42"/>
        <v>6907.9272376252411</v>
      </c>
    </row>
    <row r="171" spans="1:7" x14ac:dyDescent="0.25">
      <c r="A171" s="2">
        <v>9</v>
      </c>
      <c r="B171" s="25">
        <f t="shared" si="37"/>
        <v>537.15862638324847</v>
      </c>
      <c r="C171" s="25">
        <f t="shared" si="38"/>
        <v>2522.2137595247991</v>
      </c>
      <c r="D171" s="25">
        <f t="shared" si="39"/>
        <v>2510.6882595247994</v>
      </c>
      <c r="E171" s="25">
        <f t="shared" si="40"/>
        <v>668.3760517691403</v>
      </c>
      <c r="F171" s="25">
        <f t="shared" si="41"/>
        <v>6926.7432742545461</v>
      </c>
      <c r="G171" s="25">
        <f t="shared" si="42"/>
        <v>6915.2177742545464</v>
      </c>
    </row>
    <row r="172" spans="1:7" x14ac:dyDescent="0.25">
      <c r="A172" s="2">
        <v>10</v>
      </c>
      <c r="B172" s="25">
        <f t="shared" si="37"/>
        <v>260.38817214426967</v>
      </c>
      <c r="C172" s="25">
        <f t="shared" si="38"/>
        <v>2503.6898343361213</v>
      </c>
      <c r="D172" s="25">
        <f t="shared" si="39"/>
        <v>2524.2803343361215</v>
      </c>
      <c r="E172" s="25">
        <f t="shared" si="40"/>
        <v>-4.3373198982955614</v>
      </c>
      <c r="F172" s="25">
        <f t="shared" si="41"/>
        <v>6920.0545253211376</v>
      </c>
      <c r="G172" s="25">
        <f t="shared" si="42"/>
        <v>6940.6450253211378</v>
      </c>
    </row>
    <row r="173" spans="1:7" x14ac:dyDescent="0.25">
      <c r="A173" s="2">
        <v>11</v>
      </c>
      <c r="B173" s="25">
        <f t="shared" si="37"/>
        <v>412.73490775240043</v>
      </c>
      <c r="C173" s="25">
        <f t="shared" si="38"/>
        <v>2512.295505568974</v>
      </c>
      <c r="D173" s="25">
        <f t="shared" si="39"/>
        <v>2504.2665055689736</v>
      </c>
      <c r="E173" s="25">
        <f t="shared" si="40"/>
        <v>536.12493668178797</v>
      </c>
      <c r="F173" s="25">
        <f t="shared" si="41"/>
        <v>6923.1619214962848</v>
      </c>
      <c r="G173" s="25">
        <f t="shared" si="42"/>
        <v>6915.1329214962843</v>
      </c>
    </row>
    <row r="174" spans="1:7" x14ac:dyDescent="0.25">
      <c r="A174" s="2">
        <v>12</v>
      </c>
      <c r="B174" s="25">
        <f t="shared" si="37"/>
        <v>815.76320054818348</v>
      </c>
      <c r="C174" s="25">
        <f t="shared" si="38"/>
        <v>2553.8451338511386</v>
      </c>
      <c r="D174" s="25">
        <f t="shared" si="39"/>
        <v>2508.6496338511383</v>
      </c>
      <c r="E174" s="25">
        <f t="shared" si="40"/>
        <v>1222.3097763780356</v>
      </c>
      <c r="F174" s="25">
        <f t="shared" si="41"/>
        <v>6938.1649529286133</v>
      </c>
      <c r="G174" s="25">
        <f t="shared" si="42"/>
        <v>6892.9694529286126</v>
      </c>
    </row>
    <row r="175" spans="1:7" x14ac:dyDescent="0.25">
      <c r="A175" s="2">
        <v>13</v>
      </c>
      <c r="B175" s="25">
        <f t="shared" si="37"/>
        <v>386.31205093456748</v>
      </c>
      <c r="C175" s="25">
        <f t="shared" si="38"/>
        <v>2510.5237280371466</v>
      </c>
      <c r="D175" s="25">
        <f t="shared" si="39"/>
        <v>2501.976728037147</v>
      </c>
      <c r="E175" s="25">
        <f t="shared" si="40"/>
        <v>535.49510342887822</v>
      </c>
      <c r="F175" s="25">
        <f t="shared" si="41"/>
        <v>6922.5221556283304</v>
      </c>
      <c r="G175" s="25">
        <f t="shared" si="42"/>
        <v>6913.9751556283309</v>
      </c>
    </row>
    <row r="176" spans="1:7" x14ac:dyDescent="0.25">
      <c r="A176" s="2">
        <v>14</v>
      </c>
      <c r="B176" s="25">
        <f t="shared" si="37"/>
        <v>213.90052183163817</v>
      </c>
      <c r="C176" s="25">
        <f t="shared" si="38"/>
        <v>2501.8395542123226</v>
      </c>
      <c r="D176" s="25">
        <f t="shared" si="39"/>
        <v>2531.1065542123224</v>
      </c>
      <c r="E176" s="25">
        <f t="shared" si="40"/>
        <v>-152.5445115967683</v>
      </c>
      <c r="F176" s="25">
        <f t="shared" si="41"/>
        <v>6919.3864131862365</v>
      </c>
      <c r="G176" s="25">
        <f t="shared" si="42"/>
        <v>6948.6534131862363</v>
      </c>
    </row>
    <row r="177" spans="1:9" x14ac:dyDescent="0.25">
      <c r="A177" s="2">
        <v>15</v>
      </c>
      <c r="B177" s="25">
        <f t="shared" si="37"/>
        <v>428.63097887803769</v>
      </c>
      <c r="C177" s="25">
        <f t="shared" si="38"/>
        <v>2513.4178646184632</v>
      </c>
      <c r="D177" s="25">
        <f t="shared" si="39"/>
        <v>2512.8998646184632</v>
      </c>
      <c r="E177" s="25">
        <f t="shared" si="40"/>
        <v>435.05568930274814</v>
      </c>
      <c r="F177" s="25">
        <f t="shared" si="41"/>
        <v>6923.567190780127</v>
      </c>
      <c r="G177" s="25">
        <f t="shared" si="42"/>
        <v>6923.049190780127</v>
      </c>
    </row>
    <row r="178" spans="1:9" x14ac:dyDescent="0.25">
      <c r="A178" s="2">
        <v>16</v>
      </c>
      <c r="B178" s="25">
        <f t="shared" si="37"/>
        <v>650.90424425479773</v>
      </c>
      <c r="C178" s="25">
        <f t="shared" si="38"/>
        <v>2533.5542336879594</v>
      </c>
      <c r="D178" s="25">
        <f t="shared" si="39"/>
        <v>2513.7407336879596</v>
      </c>
      <c r="E178" s="25">
        <f t="shared" si="40"/>
        <v>843.60110558634551</v>
      </c>
      <c r="F178" s="25">
        <f t="shared" si="41"/>
        <v>6930.8381722683607</v>
      </c>
      <c r="G178" s="25">
        <f t="shared" si="42"/>
        <v>6911.0246722683614</v>
      </c>
    </row>
    <row r="179" spans="1:9" x14ac:dyDescent="0.25">
      <c r="A179" s="2">
        <v>17</v>
      </c>
      <c r="B179" s="25">
        <f t="shared" si="37"/>
        <v>765.60352676770583</v>
      </c>
      <c r="C179" s="25">
        <f t="shared" si="38"/>
        <v>2547.1886571543723</v>
      </c>
      <c r="D179" s="25">
        <f t="shared" si="39"/>
        <v>2505.8781571543723</v>
      </c>
      <c r="E179" s="25">
        <f t="shared" si="40"/>
        <v>1171.8675733302598</v>
      </c>
      <c r="F179" s="25">
        <f t="shared" si="41"/>
        <v>6935.7613855986738</v>
      </c>
      <c r="G179" s="25">
        <f t="shared" si="42"/>
        <v>6894.4508855986733</v>
      </c>
    </row>
    <row r="180" spans="1:9" x14ac:dyDescent="0.25">
      <c r="A180" s="2">
        <v>18</v>
      </c>
      <c r="B180" s="25">
        <f t="shared" si="37"/>
        <v>620.15500396091898</v>
      </c>
      <c r="C180" s="25">
        <f t="shared" si="38"/>
        <v>2530.274358623617</v>
      </c>
      <c r="D180" s="25">
        <f t="shared" si="39"/>
        <v>2515.8998586236166</v>
      </c>
      <c r="E180" s="25">
        <f t="shared" si="40"/>
        <v>760.21309743860581</v>
      </c>
      <c r="F180" s="25">
        <f t="shared" si="41"/>
        <v>6929.6538519574724</v>
      </c>
      <c r="G180" s="25">
        <f t="shared" si="42"/>
        <v>6915.2793519574725</v>
      </c>
    </row>
    <row r="181" spans="1:9" x14ac:dyDescent="0.25">
      <c r="A181" s="2">
        <v>19</v>
      </c>
      <c r="B181" s="25">
        <f t="shared" si="37"/>
        <v>577.40023835372676</v>
      </c>
      <c r="C181" s="25">
        <f t="shared" si="38"/>
        <v>2525.9776371543089</v>
      </c>
      <c r="D181" s="25">
        <f t="shared" si="39"/>
        <v>2509.4016371543089</v>
      </c>
      <c r="E181" s="25">
        <f t="shared" si="40"/>
        <v>762.12764168578133</v>
      </c>
      <c r="F181" s="25">
        <f t="shared" si="41"/>
        <v>6928.1023616090579</v>
      </c>
      <c r="G181" s="25">
        <f t="shared" si="42"/>
        <v>6911.5263616090579</v>
      </c>
    </row>
    <row r="182" spans="1:9" x14ac:dyDescent="0.25">
      <c r="A182" s="2">
        <v>20</v>
      </c>
      <c r="B182" s="25">
        <f t="shared" si="37"/>
        <v>279.42445302445304</v>
      </c>
      <c r="C182" s="25">
        <f t="shared" si="38"/>
        <v>2504.5521817348099</v>
      </c>
      <c r="D182" s="25">
        <f t="shared" si="39"/>
        <v>2506.62418173481</v>
      </c>
      <c r="E182" s="25">
        <f t="shared" si="40"/>
        <v>243.01776061776062</v>
      </c>
      <c r="F182" s="25">
        <f t="shared" si="41"/>
        <v>6920.3659077729917</v>
      </c>
      <c r="G182" s="25">
        <f t="shared" si="42"/>
        <v>6922.4379077729918</v>
      </c>
    </row>
    <row r="183" spans="1:9" x14ac:dyDescent="0.25">
      <c r="A183" s="2">
        <v>21</v>
      </c>
      <c r="B183" s="25">
        <f t="shared" si="37"/>
        <v>305.59380983771229</v>
      </c>
      <c r="C183" s="25">
        <f t="shared" si="38"/>
        <v>2505.8369345809788</v>
      </c>
      <c r="D183" s="25">
        <f t="shared" si="39"/>
        <v>2500.9159345809785</v>
      </c>
      <c r="E183" s="25">
        <f t="shared" si="40"/>
        <v>411.04002260099821</v>
      </c>
      <c r="F183" s="25">
        <f t="shared" si="41"/>
        <v>6920.8298153488413</v>
      </c>
      <c r="G183" s="25">
        <f t="shared" si="42"/>
        <v>6915.908815348841</v>
      </c>
    </row>
    <row r="186" spans="1:9" x14ac:dyDescent="0.25">
      <c r="A186" s="4" t="s">
        <v>76</v>
      </c>
      <c r="B186" s="4" t="s">
        <v>94</v>
      </c>
      <c r="C186" s="27" t="s">
        <v>102</v>
      </c>
      <c r="D186" s="28" t="s">
        <v>97</v>
      </c>
      <c r="E186" s="28" t="s">
        <v>98</v>
      </c>
      <c r="F186" s="28" t="s">
        <v>99</v>
      </c>
      <c r="G186" s="28" t="s">
        <v>100</v>
      </c>
      <c r="H186" s="28" t="s">
        <v>101</v>
      </c>
      <c r="I186" s="28" t="s">
        <v>107</v>
      </c>
    </row>
    <row r="187" spans="1:9" x14ac:dyDescent="0.25">
      <c r="A187" s="2">
        <v>451</v>
      </c>
      <c r="B187" s="2">
        <v>-11.6</v>
      </c>
      <c r="C187" s="25">
        <f>(COS((A187)/((A187^2)+(B187^2))^0.5))</f>
        <v>0.54058047601642034</v>
      </c>
      <c r="D187" s="25">
        <f>(A187/(C187^3))</f>
        <v>2854.9300561525497</v>
      </c>
      <c r="E187" s="25">
        <f>(A187/C187)</f>
        <v>834.28836224988027</v>
      </c>
      <c r="F187" s="25">
        <f>(A187^3)</f>
        <v>91733851</v>
      </c>
      <c r="G187" s="25">
        <f>(A187/C187)</f>
        <v>834.28836224988027</v>
      </c>
      <c r="H187" s="25">
        <f>((D187/E187)*((F187/G187)^0.5))</f>
        <v>1134.7129396128344</v>
      </c>
      <c r="I187">
        <f>A187*A187*A187</f>
        <v>91733851</v>
      </c>
    </row>
    <row r="188" spans="1:9" x14ac:dyDescent="0.25">
      <c r="A188" s="2">
        <v>325</v>
      </c>
      <c r="B188" s="2">
        <v>30.4</v>
      </c>
      <c r="C188" s="25">
        <f t="shared" ref="C188:C207" si="43">(COS((A188)/((A188^2)+(B188^2))^0.5))</f>
        <v>0.54395441128342947</v>
      </c>
      <c r="D188" s="25">
        <f t="shared" ref="D188:D207" si="44">(A188/(C188^3))</f>
        <v>2019.2767820644412</v>
      </c>
      <c r="E188" s="25">
        <f t="shared" ref="E188:E207" si="45">(A188/C188)</f>
        <v>597.47654078800645</v>
      </c>
      <c r="F188" s="25">
        <f t="shared" ref="F188:F207" si="46">(A188^3)</f>
        <v>34328125</v>
      </c>
      <c r="G188" s="25">
        <f t="shared" ref="G188:G207" si="47">(A188/C188)</f>
        <v>597.47654078800645</v>
      </c>
      <c r="H188" s="25">
        <f t="shared" ref="H188:H208" si="48">((D188/E188)*((F188/G188)^0.5))</f>
        <v>810.10181716309171</v>
      </c>
      <c r="I188">
        <f t="shared" ref="I188:I207" si="49">A188*A188*A188</f>
        <v>34328125</v>
      </c>
    </row>
    <row r="189" spans="1:9" x14ac:dyDescent="0.25">
      <c r="A189" s="2">
        <v>291</v>
      </c>
      <c r="B189" s="2">
        <v>-5.8</v>
      </c>
      <c r="C189" s="25">
        <f t="shared" si="43"/>
        <v>0.54046938495696895</v>
      </c>
      <c r="D189" s="25">
        <f t="shared" si="44"/>
        <v>1843.2306958476365</v>
      </c>
      <c r="E189" s="25">
        <f t="shared" si="45"/>
        <v>538.4208765556051</v>
      </c>
      <c r="F189" s="25">
        <f t="shared" si="46"/>
        <v>24642171</v>
      </c>
      <c r="G189" s="25">
        <f t="shared" si="47"/>
        <v>538.4208765556051</v>
      </c>
      <c r="H189" s="25">
        <f t="shared" si="48"/>
        <v>732.3797734042513</v>
      </c>
      <c r="I189">
        <f t="shared" si="49"/>
        <v>24642171</v>
      </c>
    </row>
    <row r="190" spans="1:9" x14ac:dyDescent="0.25">
      <c r="A190" s="2">
        <v>360</v>
      </c>
      <c r="B190" s="2">
        <v>19.2</v>
      </c>
      <c r="C190" s="25">
        <f t="shared" si="43"/>
        <v>0.54149597303714769</v>
      </c>
      <c r="D190" s="25">
        <f t="shared" si="44"/>
        <v>2267.3408207625121</v>
      </c>
      <c r="E190" s="25">
        <f t="shared" si="45"/>
        <v>664.82488868906751</v>
      </c>
      <c r="F190" s="25">
        <f t="shared" si="46"/>
        <v>46656000</v>
      </c>
      <c r="G190" s="25">
        <f t="shared" si="47"/>
        <v>664.82488868906751</v>
      </c>
      <c r="H190" s="25">
        <f t="shared" si="48"/>
        <v>903.46150746697788</v>
      </c>
      <c r="I190">
        <f t="shared" si="49"/>
        <v>46656000</v>
      </c>
    </row>
    <row r="191" spans="1:9" x14ac:dyDescent="0.25">
      <c r="A191" s="2">
        <v>422</v>
      </c>
      <c r="B191" s="2">
        <v>6.1</v>
      </c>
      <c r="C191" s="25">
        <f t="shared" si="43"/>
        <v>0.54039020028738149</v>
      </c>
      <c r="D191" s="25">
        <f t="shared" si="44"/>
        <v>2674.1764312740165</v>
      </c>
      <c r="E191" s="25">
        <f t="shared" si="45"/>
        <v>780.91719608456788</v>
      </c>
      <c r="F191" s="25">
        <f t="shared" si="46"/>
        <v>75151448</v>
      </c>
      <c r="G191" s="25">
        <f t="shared" si="47"/>
        <v>780.91719608456788</v>
      </c>
      <c r="H191" s="25">
        <f t="shared" si="48"/>
        <v>1062.3099613566819</v>
      </c>
      <c r="I191">
        <f t="shared" si="49"/>
        <v>75151448</v>
      </c>
    </row>
    <row r="192" spans="1:9" x14ac:dyDescent="0.25">
      <c r="A192" s="2">
        <v>295</v>
      </c>
      <c r="B192" s="2">
        <v>-22.8</v>
      </c>
      <c r="C192" s="25">
        <f t="shared" si="43"/>
        <v>0.54280195482619642</v>
      </c>
      <c r="D192" s="25">
        <f t="shared" si="44"/>
        <v>1844.5813225931527</v>
      </c>
      <c r="E192" s="25">
        <f t="shared" si="45"/>
        <v>543.4763036077461</v>
      </c>
      <c r="F192" s="25">
        <f t="shared" si="46"/>
        <v>25672375</v>
      </c>
      <c r="G192" s="25">
        <f t="shared" si="47"/>
        <v>543.4763036077461</v>
      </c>
      <c r="H192" s="25">
        <f t="shared" si="48"/>
        <v>737.6662457812339</v>
      </c>
      <c r="I192">
        <f t="shared" si="49"/>
        <v>25672375</v>
      </c>
    </row>
    <row r="193" spans="1:11" x14ac:dyDescent="0.25">
      <c r="A193" s="2">
        <v>409</v>
      </c>
      <c r="B193" s="2">
        <v>-1.3</v>
      </c>
      <c r="C193" s="25">
        <f t="shared" si="43"/>
        <v>0.54030655641925707</v>
      </c>
      <c r="D193" s="25">
        <f t="shared" si="44"/>
        <v>2593.0004688003455</v>
      </c>
      <c r="E193" s="25">
        <f t="shared" si="45"/>
        <v>756.9776733981214</v>
      </c>
      <c r="F193" s="25">
        <f t="shared" si="46"/>
        <v>68417929</v>
      </c>
      <c r="G193" s="25">
        <f t="shared" si="47"/>
        <v>756.9776733981214</v>
      </c>
      <c r="H193" s="25">
        <f t="shared" si="48"/>
        <v>1029.8238644250487</v>
      </c>
      <c r="I193">
        <f t="shared" si="49"/>
        <v>68417929</v>
      </c>
    </row>
    <row r="194" spans="1:11" x14ac:dyDescent="0.25">
      <c r="A194" s="2">
        <v>359</v>
      </c>
      <c r="B194" s="2">
        <v>13.8</v>
      </c>
      <c r="C194" s="25">
        <f t="shared" si="43"/>
        <v>0.54092316704214349</v>
      </c>
      <c r="D194" s="25">
        <f t="shared" si="44"/>
        <v>2268.2331965655958</v>
      </c>
      <c r="E194" s="25">
        <f t="shared" si="45"/>
        <v>663.68020797310419</v>
      </c>
      <c r="F194" s="25">
        <f t="shared" si="46"/>
        <v>46268279</v>
      </c>
      <c r="G194" s="25">
        <f t="shared" si="47"/>
        <v>663.68020797310419</v>
      </c>
      <c r="H194" s="25">
        <f t="shared" si="48"/>
        <v>902.38335399487994</v>
      </c>
      <c r="I194">
        <f t="shared" si="49"/>
        <v>46268279</v>
      </c>
    </row>
    <row r="195" spans="1:11" x14ac:dyDescent="0.25">
      <c r="A195" s="2">
        <v>463</v>
      </c>
      <c r="B195" s="2">
        <v>8.9</v>
      </c>
      <c r="C195" s="25">
        <f t="shared" si="43"/>
        <v>0.54045771663048003</v>
      </c>
      <c r="D195" s="25">
        <f t="shared" si="44"/>
        <v>2932.8903380612455</v>
      </c>
      <c r="E195" s="25">
        <f t="shared" si="45"/>
        <v>856.68126433017665</v>
      </c>
      <c r="F195" s="25">
        <f t="shared" si="46"/>
        <v>99252847</v>
      </c>
      <c r="G195" s="25">
        <f t="shared" si="47"/>
        <v>856.68126433017665</v>
      </c>
      <c r="H195" s="25">
        <f t="shared" si="48"/>
        <v>1165.3017748730829</v>
      </c>
      <c r="I195">
        <f t="shared" si="49"/>
        <v>99252847</v>
      </c>
    </row>
    <row r="196" spans="1:11" x14ac:dyDescent="0.25">
      <c r="A196" s="2">
        <v>410</v>
      </c>
      <c r="B196" s="2">
        <v>-15.9</v>
      </c>
      <c r="C196" s="25">
        <f t="shared" si="43"/>
        <v>0.5409341957213879</v>
      </c>
      <c r="D196" s="25">
        <f t="shared" si="44"/>
        <v>2590.3028694742511</v>
      </c>
      <c r="E196" s="25">
        <f t="shared" si="45"/>
        <v>757.94801519845771</v>
      </c>
      <c r="F196" s="25">
        <f t="shared" si="46"/>
        <v>68921000</v>
      </c>
      <c r="G196" s="25">
        <f t="shared" si="47"/>
        <v>757.94801519845771</v>
      </c>
      <c r="H196" s="25">
        <f t="shared" si="48"/>
        <v>1030.5455722501761</v>
      </c>
      <c r="I196">
        <f t="shared" si="49"/>
        <v>68921000</v>
      </c>
    </row>
    <row r="197" spans="1:11" x14ac:dyDescent="0.25">
      <c r="A197" s="2">
        <v>343</v>
      </c>
      <c r="B197" s="2">
        <v>6.2</v>
      </c>
      <c r="C197" s="25">
        <f t="shared" si="43"/>
        <v>0.54043973382987964</v>
      </c>
      <c r="D197" s="25">
        <f t="shared" si="44"/>
        <v>2172.9628715699891</v>
      </c>
      <c r="E197" s="25">
        <f t="shared" si="45"/>
        <v>634.66836083516023</v>
      </c>
      <c r="F197" s="25">
        <f t="shared" si="46"/>
        <v>40353607</v>
      </c>
      <c r="G197" s="25">
        <f t="shared" si="47"/>
        <v>634.66836083516023</v>
      </c>
      <c r="H197" s="25">
        <f t="shared" si="48"/>
        <v>863.32280460353081</v>
      </c>
      <c r="I197">
        <f t="shared" si="49"/>
        <v>40353607</v>
      </c>
    </row>
    <row r="198" spans="1:11" x14ac:dyDescent="0.25">
      <c r="A198" s="2">
        <v>586</v>
      </c>
      <c r="B198" s="2">
        <v>34.9</v>
      </c>
      <c r="C198" s="25">
        <f t="shared" si="43"/>
        <v>0.54178983135072412</v>
      </c>
      <c r="D198" s="25">
        <f t="shared" si="44"/>
        <v>3684.7248818641892</v>
      </c>
      <c r="E198" s="25">
        <f t="shared" si="45"/>
        <v>1081.6002185553325</v>
      </c>
      <c r="F198" s="25">
        <f t="shared" si="46"/>
        <v>201230056</v>
      </c>
      <c r="G198" s="25">
        <f t="shared" si="47"/>
        <v>1081.6002185553325</v>
      </c>
      <c r="H198" s="25">
        <f t="shared" si="48"/>
        <v>1469.4382534738963</v>
      </c>
      <c r="I198">
        <f t="shared" si="49"/>
        <v>201230056</v>
      </c>
    </row>
    <row r="199" spans="1:11" x14ac:dyDescent="0.25">
      <c r="A199" s="2">
        <v>302</v>
      </c>
      <c r="B199" s="2">
        <v>6.6</v>
      </c>
      <c r="C199" s="25">
        <f t="shared" si="43"/>
        <v>0.54050316626270001</v>
      </c>
      <c r="D199" s="25">
        <f t="shared" si="44"/>
        <v>1912.54743701092</v>
      </c>
      <c r="E199" s="25">
        <f t="shared" si="45"/>
        <v>558.73863253785146</v>
      </c>
      <c r="F199" s="25">
        <f t="shared" si="46"/>
        <v>27543608</v>
      </c>
      <c r="G199" s="25">
        <f t="shared" si="47"/>
        <v>558.73863253785146</v>
      </c>
      <c r="H199" s="25">
        <f t="shared" si="48"/>
        <v>759.99297758419982</v>
      </c>
      <c r="I199">
        <f t="shared" si="49"/>
        <v>27543608</v>
      </c>
    </row>
    <row r="200" spans="1:11" x14ac:dyDescent="0.25">
      <c r="A200" s="2">
        <v>421</v>
      </c>
      <c r="B200" s="2">
        <v>-22.6</v>
      </c>
      <c r="C200" s="25">
        <f t="shared" si="43"/>
        <v>0.54151157725026211</v>
      </c>
      <c r="D200" s="25">
        <f t="shared" si="44"/>
        <v>2651.2999134902816</v>
      </c>
      <c r="E200" s="25">
        <f t="shared" si="45"/>
        <v>777.45336884170229</v>
      </c>
      <c r="F200" s="25">
        <f t="shared" si="46"/>
        <v>74618461</v>
      </c>
      <c r="G200" s="25">
        <f t="shared" si="47"/>
        <v>777.45336884170229</v>
      </c>
      <c r="H200" s="25">
        <f t="shared" si="48"/>
        <v>1056.5023727277705</v>
      </c>
      <c r="I200">
        <f t="shared" si="49"/>
        <v>74618461</v>
      </c>
    </row>
    <row r="201" spans="1:11" x14ac:dyDescent="0.25">
      <c r="A201" s="2">
        <v>425</v>
      </c>
      <c r="B201" s="2">
        <v>0.4</v>
      </c>
      <c r="C201" s="25">
        <f t="shared" si="43"/>
        <v>0.54030267856087055</v>
      </c>
      <c r="D201" s="25">
        <f t="shared" si="44"/>
        <v>2694.4961559022113</v>
      </c>
      <c r="E201" s="25">
        <f t="shared" si="45"/>
        <v>786.59613743173304</v>
      </c>
      <c r="F201" s="25">
        <f t="shared" si="46"/>
        <v>76765625</v>
      </c>
      <c r="G201" s="25">
        <f t="shared" si="47"/>
        <v>786.59613743173304</v>
      </c>
      <c r="H201" s="25">
        <f t="shared" si="48"/>
        <v>1070.1218931778005</v>
      </c>
      <c r="I201">
        <f t="shared" si="49"/>
        <v>76765625</v>
      </c>
    </row>
    <row r="202" spans="1:11" x14ac:dyDescent="0.25">
      <c r="A202" s="2">
        <v>542</v>
      </c>
      <c r="B202" s="2">
        <v>15.3</v>
      </c>
      <c r="C202" s="25">
        <f t="shared" si="43"/>
        <v>0.54063733181487261</v>
      </c>
      <c r="D202" s="25">
        <f t="shared" si="44"/>
        <v>3429.8979078022016</v>
      </c>
      <c r="E202" s="25">
        <f t="shared" si="45"/>
        <v>1002.520484814752</v>
      </c>
      <c r="F202" s="25">
        <f t="shared" si="46"/>
        <v>159220088</v>
      </c>
      <c r="G202" s="25">
        <f t="shared" si="47"/>
        <v>1002.520484814752</v>
      </c>
      <c r="H202" s="25">
        <f t="shared" si="48"/>
        <v>1363.4532137293133</v>
      </c>
      <c r="I202">
        <f t="shared" si="49"/>
        <v>159220088</v>
      </c>
    </row>
    <row r="203" spans="1:11" x14ac:dyDescent="0.25">
      <c r="A203" s="2">
        <v>536</v>
      </c>
      <c r="B203" s="2">
        <v>31.9</v>
      </c>
      <c r="C203" s="25">
        <f t="shared" si="43"/>
        <v>0.54178777120390709</v>
      </c>
      <c r="D203" s="25">
        <f t="shared" si="44"/>
        <v>3370.3670080331922</v>
      </c>
      <c r="E203" s="25">
        <f t="shared" si="45"/>
        <v>989.31727234993491</v>
      </c>
      <c r="F203" s="25">
        <f t="shared" si="46"/>
        <v>153990656</v>
      </c>
      <c r="G203" s="25">
        <f t="shared" si="47"/>
        <v>989.31727234993491</v>
      </c>
      <c r="H203" s="25">
        <f t="shared" si="48"/>
        <v>1344.0672290870689</v>
      </c>
      <c r="I203">
        <f t="shared" si="49"/>
        <v>153990656</v>
      </c>
    </row>
    <row r="204" spans="1:11" x14ac:dyDescent="0.25">
      <c r="A204" s="2">
        <v>541</v>
      </c>
      <c r="B204" s="2">
        <v>11.1</v>
      </c>
      <c r="C204" s="25">
        <f t="shared" si="43"/>
        <v>0.54047935513885625</v>
      </c>
      <c r="D204" s="25">
        <f t="shared" si="44"/>
        <v>3426.5725853156882</v>
      </c>
      <c r="E204" s="25">
        <f t="shared" si="45"/>
        <v>1000.9633020321562</v>
      </c>
      <c r="F204" s="25">
        <f t="shared" si="46"/>
        <v>158340421</v>
      </c>
      <c r="G204" s="25">
        <f t="shared" si="47"/>
        <v>1000.9633020321562</v>
      </c>
      <c r="H204" s="25">
        <f t="shared" si="48"/>
        <v>1361.5343435462019</v>
      </c>
      <c r="I204">
        <f t="shared" si="49"/>
        <v>158340421</v>
      </c>
    </row>
    <row r="205" spans="1:11" x14ac:dyDescent="0.25">
      <c r="A205" s="2">
        <v>473</v>
      </c>
      <c r="B205" s="2">
        <v>12.8</v>
      </c>
      <c r="C205" s="25">
        <f t="shared" si="43"/>
        <v>0.54061021127838715</v>
      </c>
      <c r="D205" s="25">
        <f t="shared" si="44"/>
        <v>2993.7008936984666</v>
      </c>
      <c r="E205" s="25">
        <f t="shared" si="45"/>
        <v>874.93722858377294</v>
      </c>
      <c r="F205" s="25">
        <f t="shared" si="46"/>
        <v>105823817</v>
      </c>
      <c r="G205" s="25">
        <f t="shared" si="47"/>
        <v>874.93722858377294</v>
      </c>
      <c r="H205" s="25">
        <f t="shared" si="48"/>
        <v>1189.9666057160489</v>
      </c>
      <c r="I205">
        <f t="shared" si="49"/>
        <v>105823817</v>
      </c>
    </row>
    <row r="206" spans="1:11" x14ac:dyDescent="0.25">
      <c r="A206" s="2">
        <v>300</v>
      </c>
      <c r="B206" s="2">
        <v>-1.6</v>
      </c>
      <c r="C206" s="25">
        <f t="shared" si="43"/>
        <v>0.54031427314553471</v>
      </c>
      <c r="D206" s="25">
        <f t="shared" si="44"/>
        <v>1901.8748444714743</v>
      </c>
      <c r="E206" s="25">
        <f t="shared" si="45"/>
        <v>555.23241733648297</v>
      </c>
      <c r="F206" s="25">
        <f t="shared" si="46"/>
        <v>27000000</v>
      </c>
      <c r="G206" s="25">
        <f t="shared" si="47"/>
        <v>555.23241733648297</v>
      </c>
      <c r="H206" s="25">
        <f t="shared" si="48"/>
        <v>755.35584550689907</v>
      </c>
      <c r="I206">
        <f t="shared" si="49"/>
        <v>27000000</v>
      </c>
    </row>
    <row r="207" spans="1:11" x14ac:dyDescent="0.25">
      <c r="A207" s="2">
        <v>246</v>
      </c>
      <c r="B207" s="2">
        <v>3.8</v>
      </c>
      <c r="C207" s="25">
        <f t="shared" si="43"/>
        <v>0.54040267768426364</v>
      </c>
      <c r="D207" s="25">
        <f t="shared" si="44"/>
        <v>1558.7721229512042</v>
      </c>
      <c r="E207" s="25">
        <f t="shared" si="45"/>
        <v>455.21610117507277</v>
      </c>
      <c r="F207" s="25">
        <f t="shared" si="46"/>
        <v>14886936</v>
      </c>
      <c r="G207" s="25">
        <f t="shared" si="47"/>
        <v>455.21610117507277</v>
      </c>
      <c r="H207" s="25">
        <f t="shared" si="48"/>
        <v>619.23980996540934</v>
      </c>
      <c r="I207">
        <f t="shared" si="49"/>
        <v>14886936</v>
      </c>
    </row>
    <row r="208" spans="1:11" x14ac:dyDescent="0.25">
      <c r="A208">
        <f>SUM(A187:A207)</f>
        <v>8500</v>
      </c>
      <c r="C208" s="29" t="s">
        <v>103</v>
      </c>
      <c r="D208" s="30">
        <f>SUM(D187:D207)</f>
        <v>53685.179603705568</v>
      </c>
      <c r="E208" s="30">
        <f>SUM(E187:E207)</f>
        <v>15711.934853368686</v>
      </c>
      <c r="F208" s="30">
        <f>SUM(F187:F207)</f>
        <v>1620817300</v>
      </c>
      <c r="G208" s="30">
        <f>SUM(G187:G207)</f>
        <v>15711.934853368686</v>
      </c>
      <c r="H208" s="31">
        <f t="shared" si="48"/>
        <v>1097.4302764628785</v>
      </c>
      <c r="I208">
        <f>SUM(I187:I207)</f>
        <v>1620817300</v>
      </c>
      <c r="K208">
        <f>I208/A208</f>
        <v>190684.38823529411</v>
      </c>
    </row>
    <row r="209" spans="1:11" x14ac:dyDescent="0.25">
      <c r="K209">
        <f>SQRT(K208)</f>
        <v>436.67423582722864</v>
      </c>
    </row>
    <row r="211" spans="1:11" x14ac:dyDescent="0.25">
      <c r="A211" t="s">
        <v>116</v>
      </c>
      <c r="B211" t="s">
        <v>108</v>
      </c>
      <c r="C211" t="s">
        <v>109</v>
      </c>
      <c r="D211" t="s">
        <v>110</v>
      </c>
      <c r="E211" t="s">
        <v>111</v>
      </c>
      <c r="F211" t="s">
        <v>112</v>
      </c>
      <c r="G211" t="s">
        <v>113</v>
      </c>
      <c r="H211" t="s">
        <v>114</v>
      </c>
      <c r="I211" t="s">
        <v>115</v>
      </c>
      <c r="J211" t="s">
        <v>117</v>
      </c>
    </row>
    <row r="212" spans="1:11" x14ac:dyDescent="0.25">
      <c r="A212">
        <v>2.3E-5</v>
      </c>
      <c r="B212">
        <v>436.67</v>
      </c>
      <c r="C212">
        <v>1.2949999999999999</v>
      </c>
      <c r="D212">
        <v>470</v>
      </c>
      <c r="E212">
        <v>6550</v>
      </c>
      <c r="F212">
        <v>10</v>
      </c>
      <c r="G212">
        <v>0</v>
      </c>
      <c r="H212">
        <v>2498</v>
      </c>
      <c r="I212">
        <f>((D212*E212*A212*(G212-F212))+((B212*B212*C212*C212*D212*E212)/(24*H212*H212))-H212)</f>
        <v>3367.333448337502</v>
      </c>
      <c r="J212">
        <f>((-1)*(B212*B212*C212*C212*D212*E212)/(24))</f>
        <v>-41017970211.17981</v>
      </c>
    </row>
    <row r="213" spans="1:11" x14ac:dyDescent="0.25">
      <c r="A213">
        <v>2.3E-5</v>
      </c>
      <c r="B213">
        <v>436.67</v>
      </c>
      <c r="C213">
        <v>1.2949999999999999</v>
      </c>
      <c r="D213">
        <v>470</v>
      </c>
      <c r="E213">
        <v>6550</v>
      </c>
      <c r="F213">
        <v>10</v>
      </c>
      <c r="G213">
        <v>5</v>
      </c>
      <c r="H213">
        <v>2498</v>
      </c>
      <c r="I213">
        <f t="shared" ref="I213:I221" si="50">((D213*E213*A213*(G213-F213))+((B213*B213*C213*C213*D213*E213)/(24*H213*H213))-H213)</f>
        <v>3721.3609483375021</v>
      </c>
      <c r="J213">
        <f t="shared" ref="J213:J221" si="51">((-1)*(B213*B213*C213*C213*D213*E213)/(24))</f>
        <v>-41017970211.17981</v>
      </c>
    </row>
    <row r="214" spans="1:11" x14ac:dyDescent="0.25">
      <c r="A214">
        <v>2.3E-5</v>
      </c>
      <c r="B214">
        <v>436.67</v>
      </c>
      <c r="C214">
        <v>1.2949999999999999</v>
      </c>
      <c r="D214">
        <v>470</v>
      </c>
      <c r="E214">
        <v>6550</v>
      </c>
      <c r="F214">
        <v>10</v>
      </c>
      <c r="G214">
        <v>10</v>
      </c>
      <c r="H214">
        <v>2498</v>
      </c>
      <c r="I214">
        <f t="shared" si="50"/>
        <v>4075.3884483375023</v>
      </c>
      <c r="J214">
        <f t="shared" si="51"/>
        <v>-41017970211.17981</v>
      </c>
    </row>
    <row r="215" spans="1:11" x14ac:dyDescent="0.25">
      <c r="A215">
        <v>2.3E-5</v>
      </c>
      <c r="B215">
        <v>436.67</v>
      </c>
      <c r="C215">
        <v>1.2949999999999999</v>
      </c>
      <c r="D215">
        <v>470</v>
      </c>
      <c r="E215">
        <v>6550</v>
      </c>
      <c r="F215">
        <v>10</v>
      </c>
      <c r="G215">
        <v>15</v>
      </c>
      <c r="H215">
        <v>2498</v>
      </c>
      <c r="I215">
        <f t="shared" si="50"/>
        <v>4429.4159483375024</v>
      </c>
      <c r="J215">
        <f t="shared" si="51"/>
        <v>-41017970211.17981</v>
      </c>
    </row>
    <row r="216" spans="1:11" x14ac:dyDescent="0.25">
      <c r="A216">
        <v>2.3E-5</v>
      </c>
      <c r="B216">
        <v>436.67</v>
      </c>
      <c r="C216">
        <v>1.2949999999999999</v>
      </c>
      <c r="D216">
        <v>470</v>
      </c>
      <c r="E216">
        <v>6550</v>
      </c>
      <c r="F216">
        <v>10</v>
      </c>
      <c r="G216">
        <v>20</v>
      </c>
      <c r="H216">
        <v>2498</v>
      </c>
      <c r="I216">
        <f t="shared" si="50"/>
        <v>4783.4434483375026</v>
      </c>
      <c r="J216">
        <f t="shared" si="51"/>
        <v>-41017970211.17981</v>
      </c>
    </row>
    <row r="217" spans="1:11" x14ac:dyDescent="0.25">
      <c r="A217">
        <v>2.3E-5</v>
      </c>
      <c r="B217">
        <v>436.67</v>
      </c>
      <c r="C217">
        <v>1.2949999999999999</v>
      </c>
      <c r="D217">
        <v>470</v>
      </c>
      <c r="E217">
        <v>6550</v>
      </c>
      <c r="F217">
        <v>10</v>
      </c>
      <c r="G217">
        <v>25</v>
      </c>
      <c r="H217">
        <v>2498</v>
      </c>
      <c r="I217">
        <f t="shared" si="50"/>
        <v>5137.4709483375027</v>
      </c>
      <c r="J217">
        <f t="shared" si="51"/>
        <v>-41017970211.17981</v>
      </c>
    </row>
    <row r="218" spans="1:11" x14ac:dyDescent="0.25">
      <c r="A218">
        <v>2.3E-5</v>
      </c>
      <c r="B218">
        <v>436.67</v>
      </c>
      <c r="C218">
        <v>1.2949999999999999</v>
      </c>
      <c r="D218">
        <v>470</v>
      </c>
      <c r="E218">
        <v>6550</v>
      </c>
      <c r="F218">
        <v>10</v>
      </c>
      <c r="G218">
        <v>30</v>
      </c>
      <c r="H218">
        <v>2498</v>
      </c>
      <c r="I218">
        <f t="shared" si="50"/>
        <v>5491.4984483375019</v>
      </c>
      <c r="J218">
        <f t="shared" si="51"/>
        <v>-41017970211.17981</v>
      </c>
    </row>
    <row r="219" spans="1:11" x14ac:dyDescent="0.25">
      <c r="A219">
        <v>2.3E-5</v>
      </c>
      <c r="B219">
        <v>436.67</v>
      </c>
      <c r="C219">
        <v>1.2949999999999999</v>
      </c>
      <c r="D219">
        <v>470</v>
      </c>
      <c r="E219">
        <v>6550</v>
      </c>
      <c r="F219">
        <v>10</v>
      </c>
      <c r="G219">
        <v>35</v>
      </c>
      <c r="H219">
        <v>2498</v>
      </c>
      <c r="I219">
        <f t="shared" si="50"/>
        <v>5845.5259483375012</v>
      </c>
      <c r="J219">
        <f t="shared" si="51"/>
        <v>-41017970211.17981</v>
      </c>
    </row>
    <row r="220" spans="1:11" x14ac:dyDescent="0.25">
      <c r="A220">
        <v>2.3E-5</v>
      </c>
      <c r="B220">
        <v>436.67</v>
      </c>
      <c r="C220">
        <v>1.2949999999999999</v>
      </c>
      <c r="D220">
        <v>470</v>
      </c>
      <c r="E220">
        <v>6550</v>
      </c>
      <c r="F220">
        <v>10</v>
      </c>
      <c r="G220">
        <v>40</v>
      </c>
      <c r="H220">
        <v>2498</v>
      </c>
      <c r="I220">
        <f t="shared" si="50"/>
        <v>6199.5534483375013</v>
      </c>
      <c r="J220">
        <f t="shared" si="51"/>
        <v>-41017970211.17981</v>
      </c>
    </row>
    <row r="221" spans="1:11" x14ac:dyDescent="0.25">
      <c r="A221">
        <v>2.3E-5</v>
      </c>
      <c r="B221">
        <v>436.67</v>
      </c>
      <c r="C221">
        <v>1.2949999999999999</v>
      </c>
      <c r="D221">
        <v>470</v>
      </c>
      <c r="E221">
        <v>6550</v>
      </c>
      <c r="F221">
        <v>10</v>
      </c>
      <c r="G221">
        <v>45</v>
      </c>
      <c r="H221">
        <v>2498</v>
      </c>
      <c r="I221">
        <f t="shared" si="50"/>
        <v>6553.5809483375015</v>
      </c>
      <c r="J221">
        <f t="shared" si="51"/>
        <v>-41017970211.17981</v>
      </c>
    </row>
  </sheetData>
  <mergeCells count="11">
    <mergeCell ref="A161:D161"/>
    <mergeCell ref="E161:G161"/>
    <mergeCell ref="A1:E1"/>
    <mergeCell ref="A11:E11"/>
    <mergeCell ref="A71:I71"/>
    <mergeCell ref="G11:J11"/>
    <mergeCell ref="A21:F21"/>
    <mergeCell ref="A61:H61"/>
    <mergeCell ref="A31:F31"/>
    <mergeCell ref="A41:F41"/>
    <mergeCell ref="A51:F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2018-06-24T00:23:29Z</dcterms:modified>
</cp:coreProperties>
</file>