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ort Results" r:id="rId3" sheetId="1"/>
  </sheets>
</workbook>
</file>

<file path=xl/sharedStrings.xml><?xml version="1.0" encoding="utf-8"?>
<sst xmlns="http://schemas.openxmlformats.org/spreadsheetml/2006/main" count="7779" uniqueCount="1467">
  <si>
    <t/>
  </si>
  <si>
    <t>Match Score</t>
  </si>
  <si>
    <t>NIH Spending Categorization</t>
  </si>
  <si>
    <t>Project Abstract</t>
  </si>
  <si>
    <t>Project Terms</t>
  </si>
  <si>
    <t>Project Title</t>
  </si>
  <si>
    <t>Public Health Relevance</t>
  </si>
  <si>
    <t>Administering  IC</t>
  </si>
  <si>
    <t>Application ID</t>
  </si>
  <si>
    <t>Award Notice Date</t>
  </si>
  <si>
    <t>FOA</t>
  </si>
  <si>
    <t>Project Number</t>
  </si>
  <si>
    <t>Type</t>
  </si>
  <si>
    <t>Activity</t>
  </si>
  <si>
    <t>IC</t>
  </si>
  <si>
    <t>Serial Number</t>
  </si>
  <si>
    <t>Support Year</t>
  </si>
  <si>
    <t>Suffix</t>
  </si>
  <si>
    <t xml:space="preserve">Program Official Information </t>
  </si>
  <si>
    <t>Project Start Date</t>
  </si>
  <si>
    <t>Project End Date</t>
  </si>
  <si>
    <t>Study Section</t>
  </si>
  <si>
    <t xml:space="preserve">Subproject Number </t>
  </si>
  <si>
    <t>Contact PI  Person ID</t>
  </si>
  <si>
    <t>Contact PI / Project Leader</t>
  </si>
  <si>
    <t>Other PI or Project Leader(s)</t>
  </si>
  <si>
    <t>Congressional District</t>
  </si>
  <si>
    <t>Department</t>
  </si>
  <si>
    <t>DUNS Number</t>
  </si>
  <si>
    <t>FIPS</t>
  </si>
  <si>
    <t>Latitude</t>
  </si>
  <si>
    <t>Longitude</t>
  </si>
  <si>
    <t>Organization ID (IPF)</t>
  </si>
  <si>
    <t>Organization Name</t>
  </si>
  <si>
    <t>Organization City</t>
  </si>
  <si>
    <t>Organization State</t>
  </si>
  <si>
    <t>Organization Type</t>
  </si>
  <si>
    <t>Organization Zip</t>
  </si>
  <si>
    <t>Organization Country</t>
  </si>
  <si>
    <t>ARRA Indicator</t>
  </si>
  <si>
    <t>Budget Start Date</t>
  </si>
  <si>
    <t>Budget End Date</t>
  </si>
  <si>
    <t>CFDA Code</t>
  </si>
  <si>
    <t>Funding Mechanism</t>
  </si>
  <si>
    <t>FY</t>
  </si>
  <si>
    <t>Funding IC</t>
  </si>
  <si>
    <t>FY Total Cost by IC</t>
  </si>
  <si>
    <t>FY Total Cost (Sub Projects)</t>
  </si>
  <si>
    <t>No NIH Category available.</t>
  </si>
  <si>
    <t>DESCRIPTION (provided by applicant): Transgender children and adolescents are a poorly understood and a distinctly understudied population in the United States. The limited available data suggest that transgender youth who are gender dysphoric (persistently distressed about gender incongruence) are at increased risk for negative mental and medical health outcomes including anxiety, depression, HIV acquisition, suicide, and substance use compared to their peers. Therefore, medical intervention is aimed at alleviating gender dysphoria and ameliorating potential negative outcomes. Existing strategies for treating transgender youth depend on the developmental stage at which these youth present for care. For those transgender youth that present for care in the early stages of pubertal development, treatment is aimed at suppressing their endogenous puberty in order to avoid the development of undesired secondary sexual characteristics that intensify the distress associated with gender incongruence. For those youth in later stages of puberty, the goal of treatment is to use cross-sex hormones in order to induce the development of desired secondary sexual characteristics that bring the body into closer alignment with the youth's internal sense of gender. In 2011, the Institute of Medicine emphasized a clear need for the development of evidence-based and rigorous research aimed at understanding the health implications of hormone use in transgender individuals. The proposed study networks four academic sites around the country (Children's Hospital Los Angeles/University of Southern California, Boston Children's Hospital, Lurie Children's Hospital of Chicago/Northwestern University, and University of California San Francisco) with dedicated transgender youth clinics to conduct a multi-site observational study examining the physiological and psychosocial outcomes of existing medical treatment protocols for transgender youth with gender dysphoria. The study will include two groups of gender dysphoric youth: one in the earliest stages of pubertal development to assess the impact of puberty suppression, and one in later stages of pubertal development to assess the impact of cross-sex hormones for gender transition. Specifically, in the earlier pubertal cohort (Tanner stages 2-3; n=80) the study will evaluate the impact on mental health, psychological well-being, physiologic parameters and bone health as well as document safety of GnRH agonists administered for puberty suppression. In the later pubertal cohort (Tanner stages 4-5; n=200) the study will evaluate the impact on mental health, psychological well-being, and metabolic/physiologic parameters, as well as document the safety of cross-sex hormones administered for gender transition. This multi-center study will be the first in the U.S. to evaluate longitudinal outcomes of medical treatment for transgender youth and will provide essential evidence-based data on the physiological and psychosocial effects and safety of treatments currently used for transgender youth.</t>
  </si>
  <si>
    <t>Adolescence;Adolescent;Age;Agonist;Alcohol or Other Drugs use;Anxiety;base;Behavior;Birth;Bone Density;bone health;Boston;California;Caring;Characteristics;Chicago;Child;Clinic;Clinical;clinical care;clinical practice;Clinical Practice Guideline;cohort;community center;Country;Data;Depression and Suicide;depressive symptoms;Development;Distress;Electrolytes;Enzymes;evidence base;Exhibits;experience;Fasting;Feminine;follow up assessment;Gender;gender dysphoria;Gender Identity;gender transition;Glucose;Glycosylated hemoglobin A;Goals;Gonadal Steroid Hormones;Gonadotropin Hormone Releasing Hormone;Guidelines;Health;Hemoglobin;HIV;HIV Infections;Hormonal;Hormone use;Hormones;Individual;Institute of Medicine (U.S.);Insulin;Intervention;Knowledge;Lesbian Gay Bisexual Transgender;Lipids;Liver;Los Angeles;Masculine;Medical;Mental Depression;Mental Health;Metabolic;Multicenter Studies;Observational Study;Outcome;Patients;Pediatric Hospitals;peer;Phenotype;Physiological;Population;Psyche structure;psychosocial;Puberty;public health relevance;Quality of life;Recommendation;recruit;reduce symptoms;Reporting;Research;Risk;Safety;San Francisco;Self-Injurious Behavior;sex;Sex Characteristics;sexual risk behavior;Site;Specific qualifier value;Suicide;Time;transgender;transgender women;trauma symptom;Treatment Protocols;Treatment/Psychosocial Effects;United States;Universities;Well in self;Youth;</t>
  </si>
  <si>
    <t>PUBLIC HEALTH RELEVANCE: The Institute of Medicine's 2011 report "The Health of Lesbian, Gay, Bisexual, and Transgender (LGBT) People," calls for the development of evidence-based and rigorous research aimed at understanding the health implications of hormone use in transgender individuals. The goal of the proposed research is to conduct a multi-site observational study examining the physiological and psychosocial outcomes of existing medical treatment protocols for gender dysphoria in two cohorts: early pubertal and late pubertal transgender youth.</t>
  </si>
  <si>
    <t>NICHD</t>
  </si>
  <si>
    <t>21-JUN-2019</t>
  </si>
  <si>
    <t>PA-12-111</t>
  </si>
  <si>
    <t>R01</t>
  </si>
  <si>
    <t>HD</t>
  </si>
  <si>
    <t>082554</t>
  </si>
  <si>
    <t>05</t>
  </si>
  <si>
    <t>WINER, KAREN</t>
  </si>
  <si>
    <t>1-AUG-2015</t>
  </si>
  <si>
    <t>30-JUN-2020</t>
  </si>
  <si>
    <t xml:space="preserve">Health, Behavior, and Context Subcommittee (CHHD-M) </t>
  </si>
  <si>
    <t xml:space="preserve">OLSON-KENNEDY, JOHANNA L </t>
  </si>
  <si>
    <t>CHAN, YEE-MING ;GAROFALO, ROBERT ;ROSENTHAL, STEPHEN M</t>
  </si>
  <si>
    <t>28</t>
  </si>
  <si>
    <t>Unavailable</t>
  </si>
  <si>
    <t>052277936</t>
  </si>
  <si>
    <t>US</t>
  </si>
  <si>
    <t>1520001</t>
  </si>
  <si>
    <t>CHILDREN'S HOSPITAL OF LOS ANGELES</t>
  </si>
  <si>
    <t>LOS ANGELES</t>
  </si>
  <si>
    <t>CA</t>
  </si>
  <si>
    <t>Independent Hospitals</t>
  </si>
  <si>
    <t>90027-6062</t>
  </si>
  <si>
    <t>UNITED STATES</t>
  </si>
  <si>
    <t xml:space="preserve"> </t>
  </si>
  <si>
    <t>1-JUL-2019</t>
  </si>
  <si>
    <t>865</t>
  </si>
  <si>
    <t>Research Projects</t>
  </si>
  <si>
    <t>Project Summary/AbstractSex represents a critical variable not only in typical neurodevelopment, but also neuropsychiatric disease.Substantial sex differences have been identified in prevalence, course and outcome of psychiatric disorders,with prior evidence indicating this occurs in a time-dependent fashion throughout the lifespan, with specificepochs in early development and in the pubertal period. Despite clear epidemiological evidence for thesedisparities, understanding of underlying biological mechanisms in humans is limited. Animal studies suggest acritical role of sex hormones in both developmental periods, however translation of these mechanisms tohumans has been hampered by the lack of an experimental model that allows segregation of effects related toearly organizational effects and later activational processes in puberty. The recent advent of cross-sexhormone therapy (CSHT) in adolescents with gender dysphoria, presents a unique opportunity to investigatethese processes, while also advancing the empirical basis of clinical care for this vulnerable population ofyouth. While early data from comparable European clinics demonstrated that adolescents in late pubertyreceiving GnRH treatment showed improved psychological functioning and unanimously opted to proceed withCSHT in late adolescence, there is little to no empirical data guiding clinical practices of CSHT in early pubertaladolescents, highlighting the need for further research to address the critical knowledge gap in this cohort ofyouth. The research we propose has never been conducted in early pubertal adolescents, an important pointgiven the prevailing theoretical framework which posits that hormonal effects are exerted in defined, time-sensitive developmental windows, with early and permanent organizational effects in the perinatal period, andfurther activational changes occurring during adolescence. Studying an adolescent cohort is critical for thispopulation as it (1) establishes a neural basis for sex steroid influence in puberty as manifested in brainanatomy and connectivity through a model of gender dysphoria and cross-sex hormone therapy, (2) identifiesindependent processes by which estrogens and testosterone differentially affect individuals with a natal sexbackground of either female- or male-typical early organizational effects and (3) maps these findings ontobehaviors that are most strongly associated with sexually dimorphic patterns of psychopathology in theadolescent period. Results from this interdisciplinary proposal will provide a much-needed foundation forunderstanding the longitudinal impact of treatments that are already being used in clinical settings and allowbetter understanding of risk factors associated with disease that emerges along sex-specific trajectories fromthe pubertal period, greatly improving clinical outcomes for both typically developing and GD youth.</t>
  </si>
  <si>
    <t>Address;Adolescence;Adolescent;Affect;Amygdaloid structure;Anatomy;Animals;Anterior;Anxiety;Behavior;behavior measurement;Behavioral;Biological;Brain;brain behavior;Brain region;cingulate cortex;Clinic;Clinical;clinical care;clinical decision-making;clinical practice;Cognitive;cohort;Data;Development;Disease;disorder risk;Emotional;Epidemiology;Estradiol;Estrogens;European;evidence base;Experimental Models;Female;Foundations;Functional Magnetic Resonance Imaging;gender dysphoria;GNRH1 gene;Gonadal Steroid Hormones;Health;Hippocampus (Brain);Hormonal;hormone therapy;Hormones;Human;improved;Individual;insight;Intervention;Knowledge;Longevity;male;Maps;Measurement;Measures;Mental disorders;Modeling;mood regulation;Moods;neural network;neurodevelopment;neuropsychiatric disorder;Neuropsychology;novel;Outcome;Pattern;peer;Performance;perinatal period;Physiological;Population;Prefrontal Cortex;Prevalence;Process;psychologic;Psychopathology;Puberty;relating to nervous system;Research;Rest;Risk;Risk Factors;Role;segregation;sex;Sex Differences;sexual dimorphism;Structure;Testing;Testosterone;Time;transgender;Translations;Vulnerable Populations;Youth;</t>
  </si>
  <si>
    <t>Project Narrative The relatively recent introduction of cross-sex hormone therapy for transgender youth represents a significant shift in clinical practices, however underlying mechanisms for these interventions are poorly understood, particularly during early stages of puberty. This study utilizes comprehensive approaches to examine cross-sex hormone effects on the brain throughout the pubertal period and aims to improve long-term clinical outcomes for transgender youth by elucidating how sex hormone therapy alters sex-specific risk for disease. Delineation of this paradigm also provides critical insight into the role of sex hormones in typical development and their impact on neural networks implicated in psychiatric disorders.</t>
  </si>
  <si>
    <t>NIMH</t>
  </si>
  <si>
    <t>31-MAY-2019</t>
  </si>
  <si>
    <t>PA-15-261</t>
  </si>
  <si>
    <t>MH</t>
  </si>
  <si>
    <t>115349</t>
  </si>
  <si>
    <t>02</t>
  </si>
  <si>
    <t>ZEHR, JULIA L</t>
  </si>
  <si>
    <t>23-AUG-2018</t>
  </si>
  <si>
    <t>31-MAY-2023</t>
  </si>
  <si>
    <t xml:space="preserve">Neuroendocrinology, Neuroimmunology, Rhythms and Sleep Study Section (NNRS) </t>
  </si>
  <si>
    <t>HONG, DAVID S</t>
  </si>
  <si>
    <t>Not Applicable</t>
  </si>
  <si>
    <t>18</t>
  </si>
  <si>
    <t>PSYCHIATRY</t>
  </si>
  <si>
    <t>009214214</t>
  </si>
  <si>
    <t>8046501</t>
  </si>
  <si>
    <t>STANFORD UNIVERSITY</t>
  </si>
  <si>
    <t>STANFORD</t>
  </si>
  <si>
    <t>SCHOOLS OF MEDICINE</t>
  </si>
  <si>
    <t>94305-2004</t>
  </si>
  <si>
    <t>1-JUN-2019</t>
  </si>
  <si>
    <t>31-MAY-2020</t>
  </si>
  <si>
    <t>242</t>
  </si>
  <si>
    <t>PROJECT SUMMARY/ABSTRACT Access to and demand for gender-affirming medical therapy for gender non-conforming youth haveincreased, but understanding of the ramifications of these therapies on bone development and skeletal healthhas lagged behind. Current guidelines recommend treatment of gender dysphoria as early as Tanner Stage 2with gonadotropin-releasing hormone agonists for puberty suppression, but little is known about the skeletaleffects of this intervention. Puberty is a key period of skeletal vulnerability, as rapid longitudinal bone growthcoupled with a lag in mass accrual results in decreased bone strength and increased fracture incidence. Peakbone mass, achieved during puberty and young adulthood, largely determines age-related fractures in later life.One European group has demonstrated attenuation of bone mineral density (BMD) accrual after pubertalsuppression in older transgender adolescents that did not recover despite subsequent gender-affirminghormone therapy. Major determinants of bone health such as body composition, vitamin D status, weight-bearing exercise, and dietary calcium intake were not assessed. The skeletal effects of puberty suppression inearly pubertal transgender youth have never been reported. The objective of this fellowship proposal is toexamine measures of bone mass and quality during pubertal suppression in early pubertaltransgender youth and to correlate these bone measures with major determinants of bone health. Dr.Lee has designed the proposed longitudinal observational cohort study, during which she will collect andanalyze anthropometric, laboratory, and imaging data. We hypothesize that BMD, bone microarchitecture,and bone strength estimates will have attenuated accrual in early pubertal transgender youth after oneyear of pubertal suppression when compared to puberty-matched, non-transgender, control youth. Dr.Lee's proposed research to test this this hypothesis will concurrently provide training in the use andinterpretation of pediatric bone densitometry (Aim 1) and high-resolution peripheral quantitative computedtomography (Aim 2). She will additionally perform complex longitudinal data analyses to determine therelationships between major determinants of skeletal development and bone mass, microarchitecture, andstrength (Aim 3). These results will inform current clinical practices and lead to longer-term studies andinvestigations of interventions to mitigate the expected lag in skeletal development during pubertalsuppression. Ultimately, this research will positively contribute to the clinical care of transgender youth. Dr. Lee is training to become a physician-scientist at the intersection of bone metabolism and gender-affirming therapy, a highly relevant area in need of rigorous investigation. Her mentorship team is comprised ofexperts in endocrinology, radiology, epidemiology, and biostatistics. They will ensure that Dr. Lee fulfills hertraining goals in advanced skeletal imaging, complex longitudinal data analysis, and the endocrinology of boneand transgender care, which will bolster her application for career development award.</t>
  </si>
  <si>
    <t>25-hydroxyvitamin D;Adolescent;Age;age related;Agonist;Area;Attenuated;attenuation;Biometry;Body Composition;Body measure procedure;bone;bone age;Bone Density;Bone Development;Bone Growth;bone health;bone imaging;bone mass;bone metabolism;bone quality;Bone Resorption;bone strength;bone turnover;boys;C-telopeptide;calcium intake;Caring;Child Care;Childhood;Clinical;clinical care;clinical practice;Cohort Studies;Complex;Coupled;Data;Data Analyses;Densitometry;design;Diagnostic radiologic examination;diet and exercise;Dietary Calcium;Drops;Dual-Energy X-Ray Absorptiometry;Elderly;Endocrinology;Enrollment;Ensure;Epidemiology;Estradiol;European;Exercise;experience;Fellowship;Fracture;fracture risk;Future;Gender;gender dysphoria;gender nonconforming;girls;Goals;Gonadal Steroid Hormones;Gonadotropin Hormone Releasing Hormone;Growth;Guidelines;Health;hormone therapy;Hormones;Image;Impairment;improved;Incidence;Insulin-Like Growth Factor I;Intervention;intervention effect;Investigation;K-Series Research Career Programs;Knowledge;Laboratories;Lead;lean body mass;Learning;Life;Measures;Medical;Mental Health;Mentorship;mineralization;N-terminal;Osteogenesis;Outcome;Participant;Peripheral;Physicians;Physiological;prevent;primary outcome;Procollagen;Puberty;Radiology Specialty;Reference Values;Reporting;Research;Resolution;Risk;Scientist;secondary outcome;sex;Site;skeletal;Skeletal bone;Skeletal Development;Skeleton;Structure;Testing;Testosterone;Time;Training;transgender;Treatment Protocols;Vitamin D;Weight-Bearing state;Work;X-Ray Computed Tomography;young adult;Youth;</t>
  </si>
  <si>
    <t>PROJECT NARRATIVE Gender-affirming therapy in gender non-conforming youth has been shown to improve mental health outcomes, but longitudinal data on the skeletal effects of puberty suppression in the early pubertal gender dysphoric youth do not exist. Because puberty is a critical time period for growth and mineralization of the skeleton, gender-affirming therapy is introduced during a particularly vulnerable window. Understanding how body composition and bone mass changes with puberty suppression in these youth will fill a crucial knowledge gap and potentially improve current treatment protocols, as future studies can build upon these findings to further investigate changes as gender-affirming sex hormones are initiated.</t>
  </si>
  <si>
    <t>12-JUN-2019</t>
  </si>
  <si>
    <t>PA-18-670</t>
  </si>
  <si>
    <t>F32</t>
  </si>
  <si>
    <t>098763</t>
  </si>
  <si>
    <t>01</t>
  </si>
  <si>
    <t>Special Emphasis Panel (ZRG1-F10B-B (20)L)</t>
  </si>
  <si>
    <t>LEE, JANET YI MAN</t>
  </si>
  <si>
    <t>12</t>
  </si>
  <si>
    <t>PEDIATRICS</t>
  </si>
  <si>
    <t>094878337</t>
  </si>
  <si>
    <t>577508</t>
  </si>
  <si>
    <t>UNIVERSITY OF CALIFORNIA, SAN FRANCISCO</t>
  </si>
  <si>
    <t>SAN FRANCISCO</t>
  </si>
  <si>
    <t>94118-6215</t>
  </si>
  <si>
    <t>Training; Individual</t>
  </si>
  <si>
    <t>Basic Behavioral and Social Science;Behavioral and Social Science;Clinical Research;Health Disparities;Health Services;Mental Health;Minority Health;Pediatric;Sexual and Gender Minorities (SGM/LGBT*)</t>
  </si>
  <si>
    <t>Gender-variant youth exhibit disproportionally high rates of depression, anxiety, substance abuse, self-harm,and suicidality. They often present seeking medical or mental health treatment for gender dysphoria, whichmanifests with particular severity as youth enter puberty. Clinical practice guidelines recommend that genderdysphoric youth in early stages of puberty receive medical treatment to suppress endogenous puberty andprevent the development of undesired secondary sex characteristics. These clinical guidelines referencerecommendations by the World Professional Association for Transgender Health that youth satisfy eligibilityand readiness criteria as determined by a mental health clinician prior to initiating pubertal suppressiontreatment. While eligibility criteria are clearly defined, readiness is not well operationalized. Indeed, youth areconsidered ready for pubertal suppression if they understand expected outcomes, benefits, and risks oftreatment. However, there is no objective measure of readiness, and reliance is placed on subjective “clinicalexpertise”. This lack of standardized assessment is an increasing problem as medical treatment for genderdypshoria is more commonly sought and pubertal suppression is more widely accepted as standard of care.The goal of the proposed study is to develop an assessment tool that can aid mental health clinicians insystematically assessing readiness for pubertal suppression from a decisional capacity framework. Specificaims are to (Aim 1) develop a Pubertal Suppression Readiness Assessment Tool (PS-RAT) by followingmethods used to develop an existing vignette-based measure of decisional capacity, obtaining expert feedbackon the tool, and assessing initial reliability and validity, and (Aim 2) explore how neurocognitive and emotionalfunctioning are associated with decisional capacity as measured by the PS-RAT. Successful completion of thisstudy will result in a prototype PS-RAT which will (1) assist clinicians in systematically and objectivelyassessing youth’s breadth and depth of understanding the potential risks and benefits of pubertal suppressiontreatment for gender dysphoria, (2) help to identify specific domains in which youth may need additionalpsychoeducation and/or therapeutic support to facilitate readiness to move forward with treatment, and (3)contribute to informed decision-making by youth and families.</t>
  </si>
  <si>
    <t>Address;Adult;Age;age related;Alcohol or Other Drugs use;Anxiety;Area;Assessment tool;base;Benefits and Risks;Birth;Childhood;Clinical;Clinical Practice Guideline;Clinical Services;Cognitive;Competence;Decision Making;decision-making capacity;Development;Distress;Eligibility Determination;Emotional;Empirical Research;Endocrine;Evaluation;evidence base;Evolution;executive function;Exhibits;Family;Feedback;Gender;gender dysphoria;Gender Identity;gender variant;Goals;Gonadotropin-Releasing Hormone Analog;Grant;Guidelines;Health;health assessment;health care quality;improved;Institute of Medicine (U.S.);Interview;Interviewer;Legal;Lesbian Gay Bisexual;Measures;Medical;Mental Depression;Mental Health;Methods;multidisciplinary;Neurocognitive;Normal Range;novel;Outcome;Parents;Participant;Pattern;Population;prevent;Process;Professional Organizations;programs;prototype;psychoeducation;Psychometrics;Psychosocial Assessment and Care;Puberty;Public Health;Quality of Care;Readiness;Recommendation;Reporting;Research;Sampling;Self Efficacy;Self-Injurious Behavior;Severities;sex;Sex Characteristics;Short-Term Memory;Societies;standard of care;Standardization;standardize measure;Stress;Structure;Substance abuse problem;Suicide;System;Testing;Therapeutic;tool;transgender;usability;Validity and Reliability;Youth;</t>
  </si>
  <si>
    <t>The Institute of Medicine’s 2011 report “The Health of Lesbian, Gay, Bisexual, and Transgender (LGBT) People,” calls for the development of evidence-based and rigorous research aimed at improving quality of health care for gender-variant youth. Developing an assessment tool that can guide the systematic evaluation of readiness for pubertal suppression treatment is critical as pubertal suppression has become more widely accepted as standard of care for gender dysphoria among peripubertal youth.</t>
  </si>
  <si>
    <t>12-DEC-2017</t>
  </si>
  <si>
    <t>PA-13-303</t>
  </si>
  <si>
    <t>R21</t>
  </si>
  <si>
    <t>087839</t>
  </si>
  <si>
    <t>BREMER, ANDREW</t>
  </si>
  <si>
    <t>23-JAN-2017</t>
  </si>
  <si>
    <t>31-DEC-2019</t>
  </si>
  <si>
    <t xml:space="preserve">Psychosocial Development, Risk and Prevention Study Section (PDRP) </t>
  </si>
  <si>
    <t xml:space="preserve">CHEN, DIANE </t>
  </si>
  <si>
    <t>07</t>
  </si>
  <si>
    <t>074438755</t>
  </si>
  <si>
    <t>1525701</t>
  </si>
  <si>
    <t>LURIE CHILDREN'S HOSPITAL OF CHICAGO</t>
  </si>
  <si>
    <t>CHICAGO</t>
  </si>
  <si>
    <t>IL</t>
  </si>
  <si>
    <t>60611-2991</t>
  </si>
  <si>
    <t>1-JAN-2018</t>
  </si>
  <si>
    <t>PROJECT SUMMARY/ABSTRACTThe purpose of this proposed study is to establish a national cohort of prepubertal transgender/gender-nonconforming (TGNC) children (and their parents), and longitudinally observe this cohort to expand the bodyof empirical knowledge pertaining to gender development and cognition in TGNC children, their mental healthsymptomology and functioning over time, and how family-initiated social gender transition may predict oralleviate mental health symptoms and/or diagnoses. Participants will be recruited and enrolled either at one offour Gender Centers dedicated to their care (Children's Hospital Los Angeles/University of Southern California;Lurie Children's Hospital of Chicago/Northwestern University; Boston Children's Hospital/Harvard MedicalSchool; Benioff Children's Hospital/University of California San Francisco), and followed over a 2-yearobservational period, with clinical and behavioral data collected from prepubertal TGNC children and theirparents at 6-month intervals. The proposed study will use state-of-the-art measures and utilize statisticaladvances in person-centered analytical approaches (i.e., latent class analysis and latent transition analysis) toaddress inconsistencies in prior studies, which have focused primarily on variable-centered approaches. Theproposed study leverages the resources of the only NIH-funded network of US-based pediatric gender centers(Grant #R01HD082554), expanding on this current collaboration (studying TGNC adolescents) to include ayounger and understudied cohort of prepubertal TGNC children. Together, these sites share a long-term goaland anticipate expanding investigation into a program of research that examines the experiences and needs ofTGNC youth from early childhood through early adulthood. This proposal sets up an ideal framework tocontinue collecting longitudinal data from the cohort recruited for this initial work, as well as understand theadditional complexities of this population based on the cohorts recruited in the companion study of peripubertaland pubertal TGNC adolescents (Grant #R01-HD082554).</t>
  </si>
  <si>
    <t>Address;Adolescence;Adolescent;Agreement;Area;Attention;base;Behavior;Behavioral;behavioral health;Birth;Boston;California;Caregivers;Caring;Characteristics;Chicago;Child;Childhood;Classification;Clinic;Clinical;clinical care;Clinical Management;clinical practice;Cognition;cohort;Collaborations;Collection;Companions;Consensus;Data;Data Reporting;Development;Diagnosis;Distress;early childhood;emerging adult;Enrollment;experience;externalizing behavior;Family;First Name;Funding;Gender;gender dysphoria;gender expression;Gender Identity;gender nonconforming;Gender Role;gender transition;Goals;Grant;Health;Healthcare;improved;Individual;Institute of Medicine (U.S.);Intervention;Investigation;Knowledge;Lesbian Gay Bisexual Transgender;Life Cycle Stages;Longitudinal cohort;Longitudinal cohort study;Longitudinal prospective study;Longitudinal Studies;Los Angeles;Measures;medical schools;Mental Health;National Institute of Child Health and Human Development;Outcome;outcome forecast;Parents;Participant;Pattern;Pediatric Hospitals;person centered;population based;prepuberty;programs;psychosocial;recruit;Reporter;Reporting;Research;Research Support;resilience;Resources;Risk;Role;Sampling;San Francisco;sex;Site;social;Subgroup;Symptoms;Time;transgender;United States;United States National Institutes of Health;Universities;University Hospitals;Work;Youth;</t>
  </si>
  <si>
    <t>PROJECT NARRATIVE To date, the youngest transgender/gender-nonconforming (TGNC) individuals have been overlooked despite the May 2011 Institute of Medicine (IOM) report, “The Health of Lesbian, Gay, Bisexual, and Transgender People,” explicitly calling for NIH-supported research on the health needs of TGNC individuals, including: (1) the collection of empirical data on TGNC-specific health care to address gender dysphoria, (2) rigorous research aimed at understanding the health implications of approaches to care, and (3) longitudinal cohort studies that incorporate a life-course perspective to examine specific experiences of TGNC individuals across developmental stages. The proposed study leverages the resources of the only NIH-funded network of four US-based pediatric gender centers (Grant #R01HD082554), expanding on this current collaboration (studying TGNC adolescents) to include a younger and understudied cohort of prepubertal TGNC children. Specifically, the study aims to expand the body of empirical knowledge pertaining to gender development and cognition in TGNC children, their mental health symptomology and functioning over time, and how family-initiated social gender transition may predict or alleviate mental health symptoms and/or diagnoses.</t>
  </si>
  <si>
    <t>21-MAR-2019</t>
  </si>
  <si>
    <t>PA-17-478</t>
  </si>
  <si>
    <t>097122</t>
  </si>
  <si>
    <t>ESPOSITO, LAYLA E</t>
  </si>
  <si>
    <t>29-FEB-2024</t>
  </si>
  <si>
    <t xml:space="preserve">HIDALGO, MARCO  </t>
  </si>
  <si>
    <t>CHEN, DIANE ;EHRENSAFT, DIANE ;TISHELMAN, AMY C.</t>
  </si>
  <si>
    <t>29-FEB-2020</t>
  </si>
  <si>
    <t>Basic Behavioral and Social Science;Behavioral and Social Science;Clinical Research;Injury (total) Accidents/Adverse Effects;Injury - Childhood Injuries;Mental Health;Pediatric;Prevention;Sexual and Gender Minorities (SGM/LGBT*);Suicide;Suicide Prevention;Violence Research;Youth Violence;Youth Violence Prevention</t>
  </si>
  <si>
    <t>DESCRIPTION (provided by applicant): The risk for suicide is a major health concern for lesbian, gay, bisexual, and transgender (LGBT) youth. We propose a longitudinal study to recruit and follow a diverse sample of 1160 LGBT youth aged 15 to 21 youth from community-based organizations in three metropolitan areas across the United States. We will use snowball and respondent-driven sampling to increase the number and diversity of the participants. The youth will be assessed four times, post baseline, over a three-year period. These assessments will allow us to determine changes in constellations, magnitudes, and developmental sequences of risk and protective factors for suicidal behaviors with a particular emphasis on the major components of the interpersonal psychological theory of suicide: thwarted belongingness, perceived burdensomeness, and the capacity for self-lethal injury. We will simultaneously document whether or not risk and protective factors for suicide are uniquely related to LGBT youths' developmental milestones. Our emphasis will be comparing LGBT youth who do and do not experience any suicidal behaviors, i.e., ideation, threats, and serious attempts. Documenting the protective factors of the youth who emerge with positive psychological adjustment is crucial to the generation of knowledge of those youth whose adjustment is compromised by LGBT-related experiences emanating from society's negative view of youth who do not conform to sexual and gender role expectations. The knowledge we generate will allow us to more accurately assess LGBT youth at risk for suicidal behaviors, identify those risk factors that are malleable to change at various developmental milestones, and to create preventive messaging and intervention models that simultaneously increase protective factors and reduce risk factors.</t>
  </si>
  <si>
    <t>Adolescence;Adolescent;Age;aged;Area;base;bullying;Cause of Death;Centers for Disease Control and Prevention (U.S.);cohort;Communities;Conflict (Psychology);coping;Development;Event;evidence base;expectation;experience;Exposure to;Family;Family member;Family Study;Feeling;Feeling suicidal;Gender;Gender Identity;Gender Role;Generations;Health;Heterosexuals;ideation;Injury;innovation;Intervention;intervention program;Knowledge;Lead;Lesbian Gay Bisexual;Life;Longitudinal Studies;malleable risk;Mental Depression;Mental Health;metropolitan;Modeling;Pain;Participant;peer;physical abuse;Population;Prevention program;Preventive;Preventive Intervention;Psychological adjustment;Psychological Theory;Public Health;Recruitment Activity;Reporting;Research;resilience;Respondent;Risk;Risk Factors;Rivers;Sampling;Schools;self esteem;Self-Injurious Behavior;Sex Orientation;Sexual abuse;sexual minority;sexual role;Social Environment;social exclusion;Social Problems;Societies;Stigmatization;stressor;Substance abuse problem;suicidal behavior;suicidal morbidity;suicidal risk;Suicide;Suicide attempt;support network;Taboo;Testing;Time;transgender;United States;Victimization;Violence;Work;Youth;</t>
  </si>
  <si>
    <t>Studies have repeatedly found higher rates of suicidal behaviors among lesbian, gay, bisexual, and transgender (LGBT) youth than their heterosexual peers. Recent studies have also found that compared to prior cohorts, contemporary LGBT youth are increasingly aware of, identifying and disclosing their sexual and gender identities earlier in their developmental trajectories; these factors have been related to suicidal risk factors such as bullying, harassment, marginalization, and victimization by family members and peers. As society has not been able to change the negative experiences that lead to suicidal behaviors among some LGBT youth, we need to provide public and mental health workers with evidenced-based research so that they can identify and enhance protective factors while simultaneously reducing malleable risk factors for suicidal behaviors when working with LGBT youth.</t>
  </si>
  <si>
    <t>13-MAR-2016</t>
  </si>
  <si>
    <t>PA-10-067</t>
  </si>
  <si>
    <t>091212</t>
  </si>
  <si>
    <t>MURPHY, ERIC ROUSSEAU</t>
  </si>
  <si>
    <t>9-JUN-2011</t>
  </si>
  <si>
    <t>31-MAR-2017</t>
  </si>
  <si>
    <t>GROSSMAN, ARNOLD H</t>
  </si>
  <si>
    <t>PSYCHOLOGY</t>
  </si>
  <si>
    <t>041968306</t>
  </si>
  <si>
    <t>5998301</t>
  </si>
  <si>
    <t>NEW YORK UNIVERSITY</t>
  </si>
  <si>
    <t>NEW YORK</t>
  </si>
  <si>
    <t>NY</t>
  </si>
  <si>
    <t>SCHOOLS OF EDUCATION</t>
  </si>
  <si>
    <t>10012-2300</t>
  </si>
  <si>
    <t>1-APR-2016</t>
  </si>
  <si>
    <t>PROJECT SUMMARY/ABSTRACT Transgender women (TW) are one of the most vulnerable populations for acquiring HIV infection, and thescant available data on transgender men (TM) suggests they are also at risk. TW have accounted for only0.2% of all participants in bio-behavioral HIV prevention trials using pre-exposure prophylaxis (PrEP), and TMhave typically not been included. TW and TM adolescents have received even less attention in PrEP trials. Although tenofovir disoproxil fumarate/emtricitabine (TDF/FTC), the FDA-approved PrEP drug, would notbe expected to interact with cross-sex hormone therapy (cs-HT; estradiol and testosterone) based on knownmechanisms and data from studies with hormonal contraceptives, there are no data that prove this. Given thislack of data, TW and TM youth on cs-HT have decreased PrEP uptake and adherence due to concerns thatPrEP may reduce the effectiveness of cs-HT. To address these critical scientific gaps in PrEP safety fortransgender youth and to plan for appropriate implementation we propose the following study in 3 integratedphases. In Phase 1, we will conduct a PK study exploring the interactions of cs-HT for both TW and TM onTDF/FTC. Simultaneously, in Phase 2, we will collect ethnographic data via focus groups and in-depthinterviews to inform the development of a tailored gender-affirmative intervention to improve uptake andadherence to PrEP in transgender youth. In Phase 3, we will conduct a small demonstration trial of PrEP use inTW and TM youth, utilizing the ethnographically developed intervention to improve uptake and adherence,while also monitoring renal and bone safety outcomes. The project has the following specific aims: Aim 1: To evaluate the differential PK of TDF/FTC in a cohortof transgender youth on cs-HT by conducting a PK trial of daily TDF/FTC among 24 TW taking estradiol and 24TM taking testosterone (ages 15-24 years) using video-based directly observed therapy (DOT) to insure dailyadherence and maximize drug exposure. Aim 2: To develop a culturally, developmentally, and gender-affirmative intervention to increase uptake of and adherence to PrEP among TW and TM youth that isgrounded in theory (Information-Motivation-Behavioral Skills Model of Behavior Change, Gender Affirmation,Empowerment Theory) and incorporates the PK data from Aim 1. We will conduct FGs with young TW (N=20-30) and TM (N=20-30) and conduct IDIs with participants from the PK study (Total N=10-14). We will solicitcontinuous input and feedback from TW and TM on the project's Youth Advisory Board. Aim 3: To conduct asmall randomized controlled trial within a PrEP demonstration project comparing the newly developedintervention with standard of care (SOC) in TW (N=50) and TM (N=50) ages 15-24 years.</t>
  </si>
  <si>
    <t>Address;Adherence;Adolescent;Adolescent and Young Adult;Affect;Age;AIDS prevention;AIDS/HIV problem;appropriate dose;Attention;base;behavior change;Behavioral;biobehavior;Birth;bone;Cognitive;cohort;Communities;Couples;Data;Data Reporting;Development;Developmental Process;Directly Observed Therapy;Drug Exposure;Drug Interactions;Drug Kinetics;Effectiveness;empowerment;emtricitabine;Environmental Risk Factor;Epidemic;Estradiol;Ethnography;FDA approved;Feedback;Female;Focus Groups;Fright;Fumarates;Gender;gender expression;Gender Identity;Gonadal Steroid Hormones;Heterosexuals;high risk;HIV;HIV Infections;HIV prevention trial;hormonal contraception;hormone therapy;Hormones;improved;Incidence;Individual;innovation;Intervention;Interview;Kidney;Legal;male;Medical;men who have sex with men;Minerals;Modeling;Monitor;Motivation;Outcome;Participant;Pharmaceutical Preparations;Phase;Physiologic calcification;Population;pre-exposure prophylaxis;Prevalence;Preventive Intervention;Process;programs;Provider;Public Health;racial minority;Randomized;Randomized Controlled Trials;Renal function;Research Project Grants;Risk;Safety;sex;Sexual Development;skills;social;standard of care;Subgroup;Tenofovir;Testosterone;theories;transgender;transgender men;transgender women;United States;uptake;Variant;Vulnerable Populations;young man;Youth;</t>
  </si>
  <si>
    <t>PROJECT NARRATIVE The proposed research project has high relevance to public health because it targets adolescent and young adult transgender women and men, especially racial minority transgender youth, a population disproportionately impacted by the HIV epidemic in the United States. The proposed project supports the National HIV/AIDS Strategy's focus on HIV prevention for the most impacted US populations and reducing HIV infections in these populations by increasing uptake and adherence to PrEP, a highly efficacious HIV prevention intervention.</t>
  </si>
  <si>
    <t>5-DEC-2019</t>
  </si>
  <si>
    <t>PA-14-127</t>
  </si>
  <si>
    <t>114753</t>
  </si>
  <si>
    <t>03</t>
  </si>
  <si>
    <t>ALLISON, SUSANNAH</t>
  </si>
  <si>
    <t>15-JAN-2018</t>
  </si>
  <si>
    <t>30-NOV-2022</t>
  </si>
  <si>
    <t xml:space="preserve">Behavioral and Social Science Approaches to Preventing HIV/AIDS Study Section (BSPH) </t>
  </si>
  <si>
    <t xml:space="preserve">HOSEK, SYBIL </t>
  </si>
  <si>
    <t>068625136</t>
  </si>
  <si>
    <t>3290801</t>
  </si>
  <si>
    <t>HEKTOEN INSTITUTE FOR MEDICAL RESEARCH</t>
  </si>
  <si>
    <t>Chicago</t>
  </si>
  <si>
    <t>Research Institutes</t>
  </si>
  <si>
    <t>60608-1204</t>
  </si>
  <si>
    <t>1-DEC-2019</t>
  </si>
  <si>
    <t>30-NOV-2020</t>
  </si>
  <si>
    <t>Helping transgender youth engage in complex discussions about fertility preservation with their families andtreatment teams is necessary to foster informed decision-making and to ultimately protect their reproductiveautonomy. Transgender youth increasingly seek treatment with gender-affirming hormones (GAH; estrogenand testosterone) to align their bodies with their gender identity. GAH are medically indicated to treat genderdysphoria (i.e., distress due to a mismatch between birth-assigned sex and gender identity). But long-termGAH use may compromise fertility potential, thus limiting future reproductive options. Fertility preservation (FP)offers transgender youth seeking GAH the opportunity to have biological children in the future. Decisions aboutFP are complicated because: (1) clinical thresholds have not been established for how much GAH exposurewill result in permanent negative effects on fertility, (2) pediatric FP options and assisted reproductivetechnologies (ART) are complex and rapidly evolving, (3) transgender youth must consider parenting intentionsalthough youth may not be developmentally ready to engage in family planning decisions, and (4) impairedfertility affects future quality of life, rather than current functioning or survival. Recent studies show that lessthan 5% of transgender youth pursue FP despite routine counseling and referral to fertility clinics. Moreover,our preliminary data suggest that transgender youth lack specific knowledge of GAH effects on fertility and FPoptions. Thus, transgender youth are making decisions that have long-term implications on their reproductivehealth and autonomy based on incomplete knowledge and understanding of reproductive biology, GAH effectson fertility, and FP options. Taken together, this suggests that current protocols for fertility counseling may notbe meeting patients’ needs for informed decision-making. The goals of this study are to develop a patient-centered Aid For Fertility-Related Medical Decisions (AFFRMED) targeted for transgender youth, and pilot testthe feasibility, acceptability, and efficacy of the AFFRMED on knowledge in a pre-/post-test design. Successfulcompletion of this study will result in a web-based AFFRMED prototype that will: (1) foster patient-centeredcommunication regarding complex and sensitive issues about future fertility, (2) aid transgender youth andtheir parents in making difficult decisions about medical treatment that may affect future fertility, and (3)facilitate informed decision-making about FP in the context of evolving ART.</t>
  </si>
  <si>
    <t>Address;Adolescent;adopted child;Adult;Affect;Age;arm;Assisted Reproductive Technology;base;Biological;Birth;Caregivers;Caring;Cell Maturation;Child;Child Rearing;Childhood;Clinic;Clinical;Communication;Community Surveys;Complex;Continuity of Patient Care;cost;Counseling;Cryopreservation;Data;Decision Aid;Decision Making;design;Development;Distress;Education;Estrogens;Evidence based practice;Family;Family Planning;Fertility;Fertility Agents;fertility preservation;Focus Groups;Fostering;Future;Gender;gender dysphoria;Gender Identity;Germ Cells;Goals;Gonadotropin-Releasing Hormone Analog;Health;health care quality;Healthcare;Hormones;Impairment;improved;Institute of Medicine (U.S.);instrument;interest;Intervention;Knowledge;Language;Lesbian Gay Bisexual Transgender;Measures;Medical;meetings;multidisciplinary;Online Systems;Outcome Measure;Parents;patient oriented;Patients;pilot trial;Pre-Post Tests;prevent;Procedures;Protocols documentation;prototype;Provider;Puberty;Quality of Care;Quality of life;Reporting;reproductive;Reproductive Biology;Reproductive Health;Research;Research Support;Risk;Sampling;sex;Sex Characteristics;standard of care;Technology;Testing;Testosterone;Time;transgender;United States;United States National Institutes of Health;usability;user centered design;young adult;Youth;</t>
  </si>
  <si>
    <t>The Institute of Medicine’s 2011 report “The Health of Lesbian, Gay, Bisexual, and Transgender People,” called for NIH-supported research to develop evidence-based practices to improve quality of health care for transgender youth. The proposed study will develop and test the feasibility and efficacy of a patient-centered Aid For Fertility-Related Medical Decisions (AFFRMED) targeted for transgender youth facing decisions about fertility preservation due to gender-affirming medical care that may impair long-term fertility. The AFFRMED has the potential to positively impact care for transgender youth by: (1) improving knowledge of potential fertility risks associated gender-affirming treatment, options for fertility preservation, and alternate family- building options, (2) preparing youth and their caregivers for informed discussions with clinical providers regarding complex and sensitive issues related to fertility, (3) facilitating informed decision-making about fertility-altering treatments and fertility preservation, and (4) protecting transgender youths’ reproductive autonomy.</t>
  </si>
  <si>
    <t>5-SEP-2019</t>
  </si>
  <si>
    <t>PA-18-040</t>
  </si>
  <si>
    <t>097459</t>
  </si>
  <si>
    <t>KING, ROSALIND B</t>
  </si>
  <si>
    <t>21-SEP-2018</t>
  </si>
  <si>
    <t>31-AUG-2020</t>
  </si>
  <si>
    <t>1-SEP-2019</t>
  </si>
  <si>
    <t>Basic Behavioral and Social Science;Behavioral and Social Science;Clinical Research;Drug Abuse (NIDA only);Mental Health;Pediatric;Prevention;Sexual and Gender Minorities (SGM/LGBT*);Substance Abuse;Violence Research;Youth Violence</t>
  </si>
  <si>
    <t>﻿   DESCRIPTION (provided by applicant): The overarching goal of this study is to recruit transgender youth (TGY; youth who feel that their true gender is different than their biological sex at birth) into a longitudinal study and examine substance use and associated mental health disparities. This is a very nascent field. To date there are only a handful of within- group descriptive studies reporting high rates of substance use and mental health problems among TGY (Garofalo et al., 2006; Grossman &amp; D'Augelli, 2006), and these studies are largely focused on older teenagers and young adults and male-to-female TGY. In addition, there are only two peer-reviewed disparities studies in the literature (comparing TGY to non-TGY) and both were published within the past year (Reisner et al., 2014, Fergusson et al., 2014). Results from these studies showed that compared with non-TGY, TGY are at increased risk for substance use, depression, anxiety, and suicidality. Yet these seminal studies are limited by their cross-sectional design, absence of measures that can describe and understand transgender-related identity and developmental processes, and other important assessment tools such as face-to-face psychiatric diagnostic interviews and information regarding transgender healthcare access. Thus the primary and overarching goal of this study is to begin to explore and fill these gaps in the adolescent literature. Our specific aims are: (1) to identify and describe substance use and associated mental and behavioral health problems (e.g., depression, suicidality, HIV risk behavior) over time among TGY; and (2) to identify and examine explanatory mechanisms (risk and protective factors) of substance use disparities among TGY (e.g., victimization, social isolation, depression, family and friend support). Currently, there are no evidence-based interventions to guide TGY and families through gender transition care. Findings from this study will provide important preliminary data to inform clinicians working with TGY and will guide the development of an intervention for TGY to promote positive outcomes during the process of transitioning.</t>
  </si>
  <si>
    <t>Administrative Supplement;Adolescence;Adolescent;adolescent substance use;Adult;Alcohol or Other Drugs use;Anxiety;Appearance;Assessment tool;base;behavioral health;Biological;Birth;bullying;Caring;Communities;Consensus;Data;Depression and Suicide;design;Development;Developmental Process;Diagnostic;Evidence based intervention;experience;Family;Female;Foundations;Friends;Fright;Funding;Gays;Gender;gender transition;Glare;Goals;Grant;Health;health care availability;health disparity;Health Sciences;Heterosexuals;heuristics;HIV risk;Homophobia;improved;Individual;innovation;Institute of Medicine (U.S.);intervention program;Interview;Lesbian Gay Bisexual;Literature;Longitudinal Studies;male;Measures;Mediating;Mediator of activation protein;Mental Depression;Mental Health;Minority;Modeling;National Institute of Drug Abuse;Outcome;Paper;Parents;Pattern;peer;Peer Review;Persons;Pilot Projects;Prejudice;Prevention program;Process;Puberty;Public Health;Publishing;Recruitment Activity;Reporting;Research;Risk;Risk Behaviors;Seminal;sex;Site;Social isolation;Stress;stressor;Substance abuse problem;Suicide;Teenagers;theories;therapy development;Time;transgender;Underserved Population;Victimization;Work;young adult;Youth;</t>
  </si>
  <si>
    <t>PUBLIC HEALTH RELEVANCE: The central goal of this study is to examine substance use and associated mental health and health risk behaviors among transgender youth (TGY). Only two published studies to date examine TGY substance use and mental health disparities. This will be the first longitudinal TGY disparities study, and the first to systematically examine risk and protective factors associated with TGY substance use and abuse.</t>
  </si>
  <si>
    <t>NIDA</t>
  </si>
  <si>
    <t>22-JUL-2016</t>
  </si>
  <si>
    <t>PA-12-113</t>
  </si>
  <si>
    <t>DA</t>
  </si>
  <si>
    <t>037958</t>
  </si>
  <si>
    <t>SCHULDEN, JEFFREY D</t>
  </si>
  <si>
    <t>15-SEP-2015</t>
  </si>
  <si>
    <t>31-AUG-2018</t>
  </si>
  <si>
    <t xml:space="preserve">MARSHAL, MICHAEL P </t>
  </si>
  <si>
    <t xml:space="preserve">CHISOLM, DEENA </t>
  </si>
  <si>
    <t>004514360</t>
  </si>
  <si>
    <t>2059802</t>
  </si>
  <si>
    <t>UNIVERSITY OF PITTSBURGH AT PITTSBURGH</t>
  </si>
  <si>
    <t>PITTSBURGH</t>
  </si>
  <si>
    <t>PA</t>
  </si>
  <si>
    <t>15213-2303</t>
  </si>
  <si>
    <t>1-SEP-2016</t>
  </si>
  <si>
    <t>279</t>
  </si>
  <si>
    <t>Background: The prevalence of transgender Veterans (“trans vets”) is on the rise. Transgender individualsexperience discord between their self-identified gender and biological sex, defined as gender dysphoria (GD).Untreated and/or undertreated GD is associated with increased mortality and morbidity including depression,anxiety, and suicidality. Hormone therapy is generally the first, and often the only, medical interventionaccessed by trans persons with GD who seek to masculinize or feminize their body to be consistent with theirgender identity. In 2012, Pharmacy Benefits Management (PBM) issued Criteria for Use (CFU) for trans vethormone therapy care. In our pilot work, we identified that out of 7,944 trans vets with GD from FY 2005-17,4,977 were on hormone therapy, with 7-fold variation on one quality of measure recommended by CFU acrosssites. In order to identify more such gaps in delivery of this care, we need to understand the current patterns ofcare, determine the degree of concordance with recommendations, and factors driving trans vet hormone care.Objectives: We propose a quantitative study with the following 3 specific aims:1: Refine methods for identifying trans vets on hormone therapy using VHA data and validate by chart reviews.2: Examine the hormone therapy care provided to trans vets in VHA. 2a: Describe the current state of hormone care for trans vets in VHA. 2b: Determine the degree that hormone care is concordant with PBM CFU and non-VHA guidelines.3: Identify patient-, clinician-, and site-level predictors of trans vet guideline-concordant hormone care.Methods: Aim 1: After having identified a population of GD documented trans vets on hormone therapy usingnational VHA data, we will also consider alternative approaches of identification, including receipt of hormonesby opposite sex, and change in coded gender over time, which will be further validated by chart reviews.Aim 2: We will then describe the study cohort in terms of demographics, proportion of those receiving eachtype of hormone therapy (estrogen vs. testosterone vs. none), route of administration (oral, transdermal,injectable), dosage and titration schedule, and duration of therapy. We will also proceed with the work ofidentifying key aspects of care recommended by PBM CFU and non-VHA guidelines (e.g. adequacy oflaboratory monitoring) against which the current care can be measured. Aim 3: We will apply GeneralizedLinear Mixed Models to examine factors associated with guideline-concordant hormone therapy care at thepatient- (e.g. housing instability), provider- (e.g. availability of trans electronic consultations) and site-level (e.g.trans specialty training offered at site).Anticipated Impacts on Veterans’ Healthcare: VHA has an imperative to provide high-quality care to transvets, which is also a primary goal of our operational partners in the Lesbian, Gay, Bisexual, and Transgender(LGBT) Health Program in the Office of Patient Care Services. This study will be the first to provide anassessment of the quality of hormone therapy care received by trans vets served by VHA, as well as to refinemethods to identify trans persons on hormones in VHA data. In addition, this proposal will lay the groundworkfor a follow-up qualitative study to identify best practices associated with the delivery of guideline-concordanthormone therapy care in trans vets. This work is firmly in line with the call to provide high-quality careirrespective of gender and sexual orientation, as outlined in the VHA Strategic Plan, and Blueprint forExcellence, and addresses the 2017 HSR&amp;D priority area of healthcare equity and health disparities.</t>
  </si>
  <si>
    <t>Address;Adherence;Anxiety;Appearance;Area;Attitude;Automobile Driving;biological sex;care delivery;care systems;Caring;Clinical;clinically significant;Code;cohort;Cohort Studies;Collaborations;Consult;Consultations;Data;demographics;design;Diagnosis;Discrimination;Distress;Documentation;dosage;effective intervention;Effectiveness;Estrogens;Ethics;Event;experience;Face;Feeling suicidal;Female;Feminization;follow-up;Foundations;Future;Gender;gender dysphoria;Gender Identity;Goals;Guidelines;Health;health disparity;Healthcare;hormone therapy;Hormones;Housing;housing instability;Impairment;improved;Individual;Injectable;Intervention;Knowledge;Laboratories;Lesbian Gay Bisexual Transgender;male;Masculine;Measures;Medical;medical specialties;Mental Depression;mental health counseling;Methods;Modeling;Monitor;Morbidity - disease rate;mortality;Operative Surgical Procedures;Oral;Patient Care;Patients;Patterns of Care;Persons;pharmacy benefit;Policies;Population;Prevalence;Primary Care Physician;programs;Provider;Quality of Care;Quality of life;Recommendation;Research;Research Priority;Route;Sampling;Schedule;Services;sex;Sex Orientation;Site;Strategic Planning;Suicide;Suicide prevention;suicide rate;Testosterone;therapy duration;Time;Titrations;Training;transgender;transgender women;Variant;Veterans;Work;</t>
  </si>
  <si>
    <t>The number of transgender Veterans (“trans vets”) on hormone therapy served by VHA has increased five-fold over the past ten years, and is still increasing. While VHA is committed to providing high-quality care to trans vets, little is known about quality of care currently provided to them in VHA. Transgender hormone therapy is an especially important part of transgender care – in many cases, it is the only intervention the patient receives. The goals of this project are to characterize the hormone therapy that trans vets currently receive, as compared to what would be recommended by clinical guidelines. We will also examine the patient-, provider-, and site-level predictors of guideline-concordant hormone therapy prescribing in this population. This study will allow us to examine adherence to recommendations to determine where gaps in delivery of care exist. This research will serve as a foundation for future efforts for improving the quality of care delivered to trans vets.</t>
  </si>
  <si>
    <t>VA</t>
  </si>
  <si>
    <t>24-MAY-2019</t>
  </si>
  <si>
    <t>RFA-HX-18-001</t>
  </si>
  <si>
    <t>I01</t>
  </si>
  <si>
    <t>002556</t>
  </si>
  <si>
    <t>A1</t>
  </si>
  <si>
    <t>1-APR-2019</t>
  </si>
  <si>
    <t>31-MAR-2021</t>
  </si>
  <si>
    <t xml:space="preserve">HSR-2 Determinants of Patient Response to Care   (HSR2) </t>
  </si>
  <si>
    <t xml:space="preserve">JASUJA, GUNEET </t>
  </si>
  <si>
    <t>06</t>
  </si>
  <si>
    <t>080042336</t>
  </si>
  <si>
    <t>481040</t>
  </si>
  <si>
    <t>EDITH NOURSE  ROGERS MEMORIAL VETERANS HOSPITAL</t>
  </si>
  <si>
    <t>BEDFORD</t>
  </si>
  <si>
    <t>MA</t>
  </si>
  <si>
    <t>01730-1114</t>
  </si>
  <si>
    <t>31-MAR-2020</t>
  </si>
  <si>
    <t>999</t>
  </si>
  <si>
    <t>Behavioral and Social Science;Clinical Research;Health Disparities;Health Services;Mental Health;Mental Illness;Mind and Body;Prevention;Sexual and Gender Minorities (SGM/LGBT*);Suicide</t>
  </si>
  <si>
    <t>AbstractIndividuals who fall outside of the binary male/female classification of gender that matches the sex they wereassigned at birth—termed transgender or simply trans—face innumerable challenges to their personal,interpersonal, and cultural identity that provoke significant health disparities. Although standards of care andother guidelines have been established for mental health services for trans individuals, these documents tendto be broad and aspirational and provide little specific information for front line providers or evidence-basedpractice. Furthermore, the history of stigmatization and discrimination, including in health care settings, hascreated many barriers to treatment seeking by trans individuals. This project seeks to reduce these healthdisparities and improve psychological services through two specific aims: #1 Develop culturallysensitive evidence-based principles of care for psychological services and assessment for the transcommunity in service impoverished areas. #2. Assess the needs and barriers for mental healthservices through an iterative development process in partnership with the Central Great Plains transcommunity that includes a deep understanding of stigma that can then inform the principles of care.Using a community-based participatory research model, the research team will partner with the Central GreatPlains rural and urban trans community and local mental health providers through an iterative series of focusgroups. Transcripts of the focus groups will be subjected to two analyses – an inductive analysis based ingrounded theory to identify themes and a critical, cultural, and rhetorical approach to link key topics in thetranscripts to the cultural context to better understand trans stigma. The project will be guided by the alreadyestablished local and national advisory boards. Deliverables include principles of care that can informtrans-affirmative adaptations of first-line psychological interventions for common disorders; a self-report instrument to inform process and outcomes for trans psychological services; and a publishabletaxonomy of stigmatizing and destigmatizing discourse to provide critical information to cliniciansabout the way language is used to marginalize or heal trans people in the healthcare context. Thesedeliverables and the establishment of a partnership with trans community will prepare the research team toapply the principles of care in a specific context (e.g., adapting a first-line treatment for anxiety) and,eventually, randomized controlled trials. This project will enhance public health services to a population subjectto large health disparities, offering a pathway to improve best practices in mental health care for the transpopulation.</t>
  </si>
  <si>
    <t>Address;American;anthrax lethal factor;Anxiety;anxiety treatment;Area;assault;Assessment tool;base;behavioral health;Biological;Caring;cisgender;Classification;Client;Clinical Psychology;Communities;community based participatory research;Community Health;community partnership;coping;Darkness;Data;design;Development;Discipline;Discrimination;Disease;disparity reduction;Education;efficacy trial;evidence base;Evidence based practice;experience;Face;falls;Feedback;Female;Feminine;Focus Groups;Foundations;Gender;gender dysphoria;Gender Identity;gender nonconforming;General Population;Goals;Group Interviews;Guidelines;healing;Health;Health Benefit;health disparity;Health Personnel;Health Services Research;Healthcare;improved;Individual;innovation;instrument;Intervention;Intervention Studies;Language;Lead;Link;male;Masculine;Measures;Medical;member;Mental disorders;Mental Health;Mental Health Services;Methodology;Modeling;Moods;named group;Occupations;Outcome;Pathway interactions;Patient Self-Report;Population;Positioning Attribute;Preparation;Process;Provider;psychologic;Public Health;Publishing;Randomized Controlled Trials;Recording of previous events;Research;Research Personnel;Research Priority;Resources;Risk;Rural;Series;Services;sex;Sexual and Gender Minorities;Sexual Health;social exclusion;Social Network;social stigma;Specialist;statistics;Stigmatization;stress related disorder;Structure;Suicide;Suicide attempt;Surface;Surveys;Systematic Bias;Taxonomy;Term Birth;theories;therapy development;trait;Transcript;transgender;Translating;Trauma;Treatment Effectiveness;United States Public Health Service;</t>
  </si>
  <si>
    <t>Project Narrative  The proposed principles of psychological care in this application will have tangible public health benefits to the more than 700,000 self-identified transgender (trans) Americans. These principles will provide guidance for first-line interventions for mental health issues for a group with high health disparities, including elevated suicidality. Furthermore, the taxonomy of stigmatizing and destigmatizing language and discourse surrounding trans communities developed in this application will be a valuable resource to both the trans communities and health practitioners across the medical world when serving trans clients.</t>
  </si>
  <si>
    <t>3-JUL-2017</t>
  </si>
  <si>
    <t>PA-15-263</t>
  </si>
  <si>
    <t>108897</t>
  </si>
  <si>
    <t>JULIANO-BULT, DENISE M</t>
  </si>
  <si>
    <t>7-SEP-2016</t>
  </si>
  <si>
    <t>30-JUN-2019</t>
  </si>
  <si>
    <t xml:space="preserve">Mental Health Services Research Committee (SERV) </t>
  </si>
  <si>
    <t>HOPE, DEBRA A.</t>
  </si>
  <si>
    <t>555456995</t>
  </si>
  <si>
    <t>578103</t>
  </si>
  <si>
    <t>UNIVERSITY OF NEBRASKA LINCOLN</t>
  </si>
  <si>
    <t>LINCOLN</t>
  </si>
  <si>
    <t>NE</t>
  </si>
  <si>
    <t>SCHOOLS OF ARTS AND SCIENCES</t>
  </si>
  <si>
    <t>68503-2427</t>
  </si>
  <si>
    <t>1-JUL-2017</t>
  </si>
  <si>
    <t>Project Summary/AbstractThe proposed study will investigate the trajectories of substance use, prescribed hormone use(PHU), non-prescribed hormone use (NPHU), and psychological well-being amongtranswomen (male-to-female transgender persons) and transmen (female-to-male transgenderpersons) who identify their gender other than that assigned at birth. Many trans people seek toalign their physical appearance to match their internal gender identity through taking cross-gender hormones and surgical procedures. The Standard of Care, World ProfessionalAssociation for Transgender Health recommends the initiation of cross-gender hormone andsurgical treatments to those who are transitioning from a gender assigned at birth to a genderthey identify with after comprehensive counseling by mental health professionals. During thetransition, many transwomen/men face a number of difficulties due to transphobia, exposure tosexual and physical violence, and gender-based discrimination. Hormone therapy and surgicalinterventions help transwomen/men to increase health and well-being and assist them to attainsafety. A high prevalence of substance use and NPHU among transwomen/men has beenreported. Transwomen who used NPHs reported more substance use than those who usedonly prescribed hormones (PHs). NPH users also showed higher prevalence of depression,suicidal thoughts, and transphobia, and lower levels of self-esteem. The reported widespreadNPHU is troublesome because NPHU is associated with improper dosage and a lack ofmedical monitoring that elevates health risks. Few studies have investigated the trajectories ofsubstance use and PHU/NPHU in relation to psychosocial factors among transwomen/men.The Specific Aims of the Study are: 1) To longitudinally describe and understand thetrajectories of substance use, PHU/NPHU, and psychological well-being among transwomenand transmen in relation to background variables (e.g., gender identity and transition andfluidity of sexual orientation and sexual partnership); 2) To explore and determine psychosocialfactors and examine the mediating effects of psychosocial factors (e.g., transphobia, self-esteem, satisfaction with gender transition, social support, and trans community identity) onhealth outcomes (e.g., substance use, PHU/NPHU, and psychological well-being); 3) Tocompare transwomen and transmen in term of trajectories of substance use, PHU/NPHU, andpsychological outcomes in relation to psychosocial factors and background variables; 4) Todisseminate study findings through presentations and publications and prepare a future healthpromotion intervention study for transwomen/men who have been neglected by researchstudies. In order to attain the specific aims, we will utilize mixed methods; first conductingqualitative interviews with transwomen/men, and then a longitudinal study with transwomen(n=120) and transmen (n=120) recruited in the San Francisco Bay area.</t>
  </si>
  <si>
    <t>Adolescent and Young Adult;Alcohol consumption;Alcohol or Other Drugs use;Appearance;Area;base;Biological;Birth;Canada;Categories;Chicago;Cocaine;Communities;Conscious;Counseling;Data;Development;Discrimination;dosage;Economics;ecstasy;Employment;Exposure to;Face;Feeling suicidal;Female;fluidity;Future;Gender;Gender Confirmation Surgery;gender expression;gender fluid;Gender Identity;gender nonconforming;gender transition;gender variant;genderqueer;Genitalia;Goals;Health;health care availability;Health Insurance;Health Professional;Health Promotion;Heroin;High Prevalence;Hormonal;hormone therapy;Hormone use;Hormones;Housing;Insurance Coverage;Intervention;Intervention Studies;Interview;Longitudinal Studies;male;man;marijuana use;Mediating;Medical;men;Mental Depression;Mental Health;mental health counseling;Methamphetamine;Methods;Monitor;neglect;New York City;Normal Pressure Hydrocephalus;Ontario;Operative Surgical Procedures;Opioid;Outcome;Personal Satisfaction;Persons;Politics;Population;Prevalence;Process;Professional Organizations;psychological outcomes;psychosocial;Psychosocial Factor;Publications;Recommendation;recruit;Reporting;Research Personnel;research study;Resources;Risk;Safety;San Francisco;satisfaction;self esteem;sex;Sex Orientation;social;Social support;Societies;standard of care;Substance abuse problem;substance abuse treatment;Testing;Theoretical model;transgender;transgender men;transgender women;transphobia;transsexual;Treatment/Psychosocial Effects;Violence;Virginia;Washington;Well in self;Woman;young adult;</t>
  </si>
  <si>
    <t>Project Narrative Very few studies have described the trajectories of substance and hormone use and psychological well-being among transwomen (male-to-female transgender/transsexual persons) and transmen (female-to-male transgender/transsexual persons). The population of people who identity transwomen/men or do not identify their gender based on a binary gender category of male/female is growing, particularly among adolescents and young adults. High prevalence of substance use and non-prescribed hormone use (NPHU) has been reported among transwomen and transmen; however, little is known about the social and cultural contexts of substance use and NPHU among transwomen and transmen in relation to key background variables (e.g., gender identity and transition and sexual orientation and partnership). The proposed study will longitudinally describe and examine the trajectories of substance use, prescribed hormone use, NPHU, and psychological well-being in social and cultural contexts among young adult transwomen/men. We will compare transwomen and transmen in terms of the trajectories of health outcomes and psychosocial and background factors, test hypotheses and theoretical models, and prepare a health promotion intervention study for transwomen and transmen who are highly vulnerable to substance abuse, NPHU, and mental health problems, but have been neglected by health professionals and researchers.</t>
  </si>
  <si>
    <t>039971</t>
  </si>
  <si>
    <t>04</t>
  </si>
  <si>
    <t>15-SEP-2016</t>
  </si>
  <si>
    <t>30-JUN-2021</t>
  </si>
  <si>
    <t xml:space="preserve">Health Disparities and Equity Promotion Study Section (HDEP) </t>
  </si>
  <si>
    <t xml:space="preserve">NEMOTO, TOORU  </t>
  </si>
  <si>
    <t xml:space="preserve">OPERARIO, DON </t>
  </si>
  <si>
    <t>13</t>
  </si>
  <si>
    <t>128663390</t>
  </si>
  <si>
    <t>1618201</t>
  </si>
  <si>
    <t>PUBLIC HEALTH INSTITUTE</t>
  </si>
  <si>
    <t>OAKLAND</t>
  </si>
  <si>
    <t>94607-4046</t>
  </si>
  <si>
    <t>Behavioral and Social Science;Clinical Research;Health Disparities;Mental Health;Minority Health;Sexual and Gender Minorities (SGM/LGBT*)</t>
  </si>
  <si>
    <t>DESCRIPTION (provided by applicant): Transgender people are a diverse group of individuals whose gender identity differs from their sex assigned at birth. They express their gender-variant identity in various ways and through a multitude of self- labels, both within and outside of binary conceptualizations of sex/gender as either male or female, man or woman, masculine or feminine. While public awareness of this diversity has grown, our understanding of transgender people's experience is limited by a lack of systematic research on their identity development. Health inequities documented among the U.S. transgender population include depression (44%), suicidal ideation (54%) and attempts (31%), anxiety (33%), smoking (36%), and HIV infection (12% based on self- report; 28% on testing). Social stigma attached to gender nonconformity has been proposed as a major contributing factor to these health inequities. Previous research found that the vast majority of transgender individuals experienced discrimination. Much of the data, however, is limited by the use of small convenience samples of transgender women with a history of sex work, recruited from AIDS and social service agencies. The goal of this study is to move beyond these limitations by using purposive, venue-based sampling to recruit a broad, diverse sample of transgender people in 3 U.S. cities--New York, San Francisco, and Atlanta-and enroll them into a mixed-method longitudinal study to test an adaptation of the minority stress model, investigating vulnerability, risk and resilience in the context of identity development. The aims of the study are: (1) To describe the process of transgender identity development based on qualitative lifeline interviews with a sample of 90 transgender individuals ages 16 and older, and identify periods of acute vulnerability and characteristics of resilience; (2) Informed by findings from Aim 1, to refine a model combining identity development, minority stress, and resilience, and to develop/adapt measures to assess the model's key constructs; (3) To test the model of resilience in a cohort of transgender individuals (N = 480) stratified by city, gender, and age, and follow them over time (baseline, 1-,2-, and 3-year follow up interviews); and (4) To triangulate qualitative and quantitative data on identity development and minority stress processes in order to inform the future development and testing of intervention strategies aimed at fostering resilience and reducing stigma and discrimination. By achieving these aims, this study will make a significant advance in scientific knowledge about gender identity development, minority stress processes (enacted stigma, felts stigma, concealment, shame and their impact on health and psychosocial adjustment), minority coping (on an individual as well as community level), and the development of resilience over time. The study is innovative in its focus on an understudied minority population, the application of the lifeline interview method to this population, and the adaptation and testing of the minoritystress model within the context of transgender identity development.</t>
  </si>
  <si>
    <t>Acquired Immunodeficiency Syndrome;Acute;Address;Adolescence;Adult;Affect;Age;Age of Onset;Alcohol or Other Drugs use;Anxiety;Awareness;base;Birth;Characteristics;Childhood;Cities;cohort;Communities;coping;Data;Development;Discrimination;Distress;Domestic Violence;Education;Enrollment;Ethnic Origin;experience;family support;Feeling suicidal;Female;Feminine;follow-up;Fostering;Future;Gays;Gender;gender diversity;gender dysphoria;Gender Identity;gender nonconforming;gender variant;Goals;Health;Health Promotion;HIV;HIV Infections;Homelessness;Homosexuals;Hormone use;Imprisonment;Individual;innovation;insight;Intervention;Interview;Knowledge;Label;Lesbian;Longevity;Longitudinal Studies;male;man;Masculine;Measures;Mental Depression;Mental Health;Meta-Analysis;Methods;Minority;Modeling;Nature;New York City;Patient Self-Report;peer support;Personal Satisfaction;Persons;Population;Population Heterogeneity;Prevalence;Process;psychological distress;psychosocial adjustment;psychosocial development;public health relevance;Race;Recording of previous events;recruit;Reporting;Research;resilience;Risk;Risk Factors;Sampling;San Francisco;Series;sex;Sex Orientation;Shame;Smoking;social stigma;Social Work;Stigmatization;Stress;Stress and Coping;stress resilience;stressor;Suicide attempt;Testing;theories;Time;transgender;transgender men;transgender women;Typology;United States;Vulnerable Populations;Woman;Work;</t>
  </si>
  <si>
    <t>PUBLIC HEALTH RELEVANCE: Research to date has found inequities in mental health, substance use, HIV infection, and other health concerns among gender nonconforming people in the United States. This study takes a longitudinal, mixed- method approach to uncover the mechanism of how stigma and minority stress affect health and psychosocial development among this population, identifying periods of acute vulnerability and corresponding resilience. Findings will inform the development of future intervention strategies aimed at reducing stigma and promoting the health and wellbeing of this and other vulnerable populations.</t>
  </si>
  <si>
    <t>10-JUL-2018</t>
  </si>
  <si>
    <t>079603</t>
  </si>
  <si>
    <t>BURES, REGINA M</t>
  </si>
  <si>
    <t>25-SEP-2014</t>
  </si>
  <si>
    <t xml:space="preserve">Social Psychology, Personality and Interpersonal Processes Study Section (SPIP) </t>
  </si>
  <si>
    <t>BOCKTING, WALTER O.</t>
  </si>
  <si>
    <t>167204994</t>
  </si>
  <si>
    <t>1590919</t>
  </si>
  <si>
    <t>NEW YORK STATE PSYCHIATRIC INSTITUTE</t>
  </si>
  <si>
    <t>10032-1007</t>
  </si>
  <si>
    <t>1-JUL-2018</t>
  </si>
  <si>
    <t>Behavioral and Social Science;Clinical Research;Health Services;Pediatric;Prevention;Sexual and Gender Minorities (SGM/LGBT*)</t>
  </si>
  <si>
    <t>DESCRIPTION (provided by applicant): The purpose of this project is to establish a sustainable community-based participatory research (CBPR) process to reduce health disparities among lesbian, gay, bisexual, transgender and queer (LGBTQ) youth of color. Evidence indicates that LGBTQ youth of color use substances (including alcohol, tobacco, and other drugs), engage in risky sexual behaviors, and attempt suicide in high rates that are disproportionate to those of both white LGBTQ youth and heterosexual youth of color. Such evidence underscores the pressing need for interventions to improve the health of LGBTQ youth of color, many of whom face 'tricultural' experiences of stigma: homophobia from their racial/ethnic groups, racism from the majority white LGBT community, and the intersection of homophobia and racism from the culture at large. We propose in this project to join the forces of four Boston-based organizations with a long history of collaboration to create a Project Team who will conduct a community needs assessment to identify apriority health condition (in Year 1) and a pilot intervention research study to address that condition (in Years 2 and 3). Community input and support to the Project Team will be provided by two Community Advisory Boards (CABs); one comprised of community program leaders and government representatives and a second comprised of LGBTQ youth of color. Phase 1 of the community needs assessment will compile and review existing data pn health disparities and health concerns of LGBTQ youth of color; Phase 2 will conduct a small primary data collection study to gather more detailed information than available in Phase 1. The project team will then design and pilot an intervention tailored for LGBTQ youth of color that adapts elements from one or more existing Positive Youth Development evidence-based interventions. The pilot intervention research study will 1) assess the j feasibility and acceptability of the intervention through analysis of process evaluation datacollected through implementation reports, structured observations, and participant self-assessment questionnaires and 2) evaluate the short-term impact of the intervention using a one group pre- and post-test design to measure changes in Positive Youth Development and health outcomes as assessed via participant self-report.       RELEVANCE: High rates of problem health conditions in lesbian, gay, bisexual, transgender, and queer (LGBTQ) youth of color indicate a need for evidence-based interventions. The purpose of this study is to establish a sustainable community-based participatory research process to assess the health LGBQ youth of color and develop a pilot intervention research study to improve health and reduce disparities.</t>
  </si>
  <si>
    <t>Address;Advocacy;Age;AIDS/HIV problem;Alcohol or Other Drugs use;Alcohols;Area;base;behavioral health;Binding;Boston;Clinic;Clinical;Collaborations;Color;Communities;community based participatory research;Community Health;Counseling;Data;Data Analyses;Data Collection;demographics;design;Disease;Drops;Elements;Ethnic group;Evaluation;evidence base;Evidence based intervention;experience;Face;Foundations;Government;Health;health disparity;Health Priorities;Health Services;Healthcare;Heterosexuals;high risk sexual behavior;Home environment;Homophobia;Housing;improved;Institute of Medicine (U.S.);Institutes;Intervention;Intervention Studies;Joints;Justice;Knowledge;Leadership;Lesbian Gay Bisexual;Lesbian Gay Bisexual Transgender;LGBT Health;Life;Literature;Measures;meetings;Methodology;metropolitan;Minority Groups;Mission;Needs Assessment;Outcome;Participant;Patient Self-Report;Pharmaceutical Preparations;Phase;Pilot Projects;Population;positive youth development;Pre-Post Tests;Preparation;Primary Health Care;Principal Investigator;Process;programs;Protocols documentation;queer;Questionnaires;racial and ethnic;racism;Recording of previous events;Reporting;Research;resilience;Resources;Risk;Sampling;Self Assessment;Services;Sexual and Gender Minorities;Sexual Health;social stigma;Social Work;Structure;Suicide attempt;Teenagers;Testing;Time;Tobacco;transgender;Work;young adult;Youth;</t>
  </si>
  <si>
    <t>n/a</t>
  </si>
  <si>
    <t>NIMHD</t>
  </si>
  <si>
    <t>12-JAN-2015</t>
  </si>
  <si>
    <t>RFA-MD-12-006</t>
  </si>
  <si>
    <t>R24</t>
  </si>
  <si>
    <t>MD</t>
  </si>
  <si>
    <t>008073</t>
  </si>
  <si>
    <t>JONES, NANCY LYNNE</t>
  </si>
  <si>
    <t>1-JAN-2013</t>
  </si>
  <si>
    <t>31-MAY-2016</t>
  </si>
  <si>
    <t>Special Emphasis Panel (ZMD1-RN (07))</t>
  </si>
  <si>
    <t>BRADFORD, JUDITH B.</t>
  </si>
  <si>
    <t>072366156</t>
  </si>
  <si>
    <t>2206401</t>
  </si>
  <si>
    <t>FENWAY COMMUNITY HEALTH CENTER</t>
  </si>
  <si>
    <t>BOSTON</t>
  </si>
  <si>
    <t>Other Domestic Non-Profits</t>
  </si>
  <si>
    <t>02215-4302</t>
  </si>
  <si>
    <t>1-DEC-2014</t>
  </si>
  <si>
    <t>307</t>
  </si>
  <si>
    <t>Other Research-Related</t>
  </si>
  <si>
    <t>Aging;Clinical Research;Mental Health</t>
  </si>
  <si>
    <t xml:space="preserve">   DESCRIPTION (provided by applicant): The goal of this application is to develop a longitudinal cohort study of the short- and long-term health outcomes among individuals who underwent hormonal and/or surgical gender reassignment interventions. Members of the transgender community and health care providers caring for transgender individuals express concerns about mental and physical health problems in this population; however longitudinal studies of transgender populations in the US have not been conducted. This project includes two distinct phases. The first phase is an electronic medical record (EMR) based study evaluating a cohort of 5462 transgender individuals, whose care is covered by the Veterans Administration (nationally) or by Kaiser Permanente (in Georgia and in Northern California). We will compare incidence, prevalence and mortality estimates in the full cohort and in the female-to-male (FTM) and male-to-female (MTF) sub-cohorts to the corresponding measures in the age- and health plan-matched samples of male and female enrollees. We will also perform within-cohort analyses to compare health outcomes across categories of transgender participants (e.g., MTF versus FTM or treatment with hormones versus hormones + surgery). The second phase (Aim 3) of the proposed project will describe facilitators of and barriers to research enrollment, and identify points of influence that would aid recruitment of transgender individuals into future observational studies and intervention trials. This aim will be achieved through Focus Group Discussions (FGDs), and the resulting information will be analyzed using qualitative methods. FGDs will aim to evaluate three central issues: 1) barriers to enrollment in research, 2) facilitators of research participation, and 3) recommendations for recruitment into future studies. The proposed project will be carried out by a multidisciplinary team that includes experts in epidemiology of chronic and sexually transmitted diseases, mental disorders, and sexual minority health issues. All of the project activities will be implemented in consultation wih the study liaisons who will serve as advocates for the transgender community. The proposed study will likely be the largest cohort of transgender individuals available to date, and the firststudy of its kind conducted in the United States. Another distinguishing feature of this project isthat it will lay foundation for future full-scale studies that will use nationwide data sources.      </t>
  </si>
  <si>
    <t>Address;Advocate;Affect;Age;age related;Age-Years;Agreement;base;Birth;breast surgery;California;cancer risk;Cardiovascular Diseases;Caring;Case Study;Categories;Cessation of life;Chronic;Chronic Disease;cohort;Cohort Analysis;Cohort Studies;Communities;Community Healthcare;Comorbidity;Computerized Medical Record;Consultations;Cross-Sectional Studies;Current Procedural Terminology Codes;Data;Data Set;Data Sources;Diabetes Mellitus;Diagnosis;Disease;Enrollment;Epidemiology;Estrogens;European;Female;Focus Groups;Foundations;Future;Gender;gender dysphoria;Gender identity disorder;Genital system;Goals;Gonadal Steroid Hormones;Health;Health Personnel;Health Planning;Health Status;Health system;Healthcare Systems;Hepatitis C;HIV;HIV diagnosis;Hormonal;Hormones;Incidence;Individual;Institute of Medicine (U.S.);International Classification of Disease Codes;Intervention;Intervention Trial;Knowledge;Lesbian Gay Bisexual Transgender Intersex;Letters;Link;Longitudinal Studies;male;Malignant neoplasm of prostate;Malignant Neoplasms;Managed Care;Measures;Medical Records;member;men;Menopause;Mental disorders;Mental Health;minority health;Morbidity - disease rate;mortality;multidisciplinary;NIH Program Announcements;Observational Study;Operative Surgical Procedures;Osteoporosis;Outcome;Participant;Persons;Phase;physical conditioning;Population;Population Study;Prevalence;Procedures;Prospective Studies;Psychotherapy;public health relevance;Qualitative Methods;Qualitative Research;Recommendation;reconstruction;Records;Reporting;Research;Research Infrastructure;Risk;Risk Behaviors;Sampling;sexual minority;Sexually Transmitted Diseases;Site;Source;Staging;Testosterone;Thoracic Surgical Procedures;transgender;United States;United States Department of Veterans Affairs;Universities;Veterans;Woman;</t>
  </si>
  <si>
    <t>PUBLIC HEALTH RELEVANCE: The purpose of this study is to determine whether transgender persons defined as those who medically change the gender assigned to them at birth (male to female or female to male) have higher or lower risk of death and certain diseases than men and women that do not consider themselves transgender. Participants will be selected from medical records of two large health care systems - the Veterans Affairs Administration and the Kaiser Permanente. Transgender persons will also be asked to join focus group discussions and share their views about factors that may motivate or preclude their participation in research.</t>
  </si>
  <si>
    <t>28-MAY-2014</t>
  </si>
  <si>
    <t>076387</t>
  </si>
  <si>
    <t>NEWCOMER, SUSAN</t>
  </si>
  <si>
    <t>1-AUG-2013</t>
  </si>
  <si>
    <t xml:space="preserve">Social Sciences and Population Studies B Study Section (SSPB) </t>
  </si>
  <si>
    <t xml:space="preserve">GOODMAN, MICHAEL </t>
  </si>
  <si>
    <t>PUBLIC HEALTH &amp; PREV MEDICINE</t>
  </si>
  <si>
    <t>066469933</t>
  </si>
  <si>
    <t>2384501</t>
  </si>
  <si>
    <t>EMORY UNIVERSITY</t>
  </si>
  <si>
    <t>ATLANTA</t>
  </si>
  <si>
    <t>GA</t>
  </si>
  <si>
    <t>SCHOOLS OF PUBLIC HEALTH</t>
  </si>
  <si>
    <t>30322-4250</t>
  </si>
  <si>
    <t>1-JUN-2014</t>
  </si>
  <si>
    <t>﻿   DESCRIPTION (provided by applicant): Transgender youth, who identify with a gender that is different from their sex assigned at birth, are at increased risk for negative health outcomes due in part to stigmatization and family rejection. Research with non- transgender sexual minorities suggests that family support is crucial to youths' health and well-being and that family rejection may lead to negative outcomes, such as youth homelessness. Yet little is known about transgender youth specifically and how their experiences are linked to their current or past family environment (family of origin, chosen family, foster family, group care). In families with transgender youth, development of a transgender identity and the process of transitioning from assigned sex to identified gender may represent a source of stress for both the youth and the larger family system. Responding to the Institute of Medicine's and NIH LGBT Research Coordinating Committee's call for research on transgender-specific health needs, the specific aims of this research are to: 1) longitudinally investigate how the family environment affects health outcomes among transgender youth, 2) examine whether and what types of social support from within and outside of the family can improve family functioning and be protective for transgender youths' health, and 3) develop a narrative-based intervention to improve family functioning and social support-seeking behaviors in families with transgender youth. The Minority Stress Model and Family Systems Theory are integrated to provide a framework for Studies 1 and 2. Study 1 will investigate how the family environment is longitudinally associated with health outcomes (substance use, sexual risk, self-harm, suicidality, depression, anxiety) among transgender youth. With the goal of informing future interventions, Study 1 will also examine whether and what types of social support from within and outside of the family can improve family functioning and be protective for transgender youth's health. I will use community-based participatory research (CBPR) principles with mixed methods (qualitative interviews and quantitative surveys) to examine multiple aspects of the family environment, perceived stress, health outcomes, and social support using data collected at five waves across 24 months from 40 transgender youth ages 13 to 17 years and their parents/guardians and siblings (Total N = 80-160). Participants will be recruited from multiple sources to capture a diverse range of experiences and variability in family functioning. Previous research has indicated that social support may reduce negative stress-related outcomes in families with transgender youth. Interventions emphasizing social support are needed to ameliorate the effects of stressors and improve the family environment in this marginalized population. Study 2 will develop and pilot an innovative narrative-based intervention based on Social Cognitive and Transportation Theories to improve the family environment for transgender youth, including decreasing enacted stigma (overt anti-transgender attitudes and behaviors) within the family, and improving family functioning and social support-seeking skills. Narrative-based interventions use storytelling to promote health behavior change through mechanisms of transportation (absorption into the story and identification with characters), persuasion, and self-efficacy. The intervention developed in Study 2 will use digital storytelling, a specific narrative-based intervention method, to produce multimedia visual narratives from transgender youth about their family environment. Narrative-based interventions have been used successfully to change health behaviors and reduce stigma in marginalized populations, making this an innovative and promising approach to improve the family environment in families with transgender youth. The planned research will, for the first time, longitudinally investigate effects of the family environment on health outcomes among transgender youth using multiple family member perspectives and develop and pilot test a narrative-based intervention to improve the family environment for transgender youth. Ultimately this work will improve the health and well-being of transgender youth and families and inform future work with other marginalized populations.</t>
  </si>
  <si>
    <t>absorption;Address;Affect;Age;Alcohol or Other Drugs use;Anxiety;Attitude;Award;base;Behavior;biological adaptation to stress;Birth;Caring;Clinic;Cognitive;community based participatory research;community center;cultural values;Data;Development;digital;Discrimination;Environment;experience;Family;Family member;family support;Fostering;Future;Gender;Gender Identity;gender minority;Goals;Group Homes;Health;Health behavior change;Health Promotion;Homelessness;Housing;improved;Individual;innovation;Institute of Medicine (U.S.);Intervention;Intervention Studies;Interview;Knowledge;Lead;Lesbian Gay Bisexual Transgender;Link;Mental Depression;Mentors;Methods;Minority;Modeling;Multimedia;negative affect;New England;Outcome;Parents;Participant;Pathway interactions;perceived stress;Personal Satisfaction;Persuasive Communication;Phase;Play;Population;Prejudice;Process;Provider;psychologic;public health relevance;Qualitative Methods;recruit;Research;Risk;Self Efficacy;Self-Injurious Behavior;sex;sexual minority;sexual risk behavior;Shelter facility;Siblings;skills;social;Social Network;social stigma;Social support;Source;Stigmatization;Stress;stressor;Suicide;support network;Surveys;System;Systems Theory;Target Populations;Testing;theories;therapy development;Time;Training;transgender;Transportation;United States National Institutes of Health;Visual;Work;Youth;</t>
  </si>
  <si>
    <t>PUBLIC HEALTH RELEVANCE: Transgender youth may be at greater risk than non-transgender youth for negative health outcomes, such as substance use, self-harm, and depression, due in part to stressors related to the family environment. This research will increase knowledge about the longitudinal effects of the family environment on health outcomes among transgender youth and the development of innovative interventions that can ultimately improve the health and well-being of transgender youth and families.</t>
  </si>
  <si>
    <t>26-APR-2019</t>
  </si>
  <si>
    <t>PA-14-042</t>
  </si>
  <si>
    <t>R00</t>
  </si>
  <si>
    <t>082340</t>
  </si>
  <si>
    <t>25-FEB-2017</t>
  </si>
  <si>
    <t>31-JAN-2021</t>
  </si>
  <si>
    <t>Special Emphasis Panel (NSS)</t>
  </si>
  <si>
    <t>KATZ-WISE, SABRA L.</t>
  </si>
  <si>
    <t>076593722</t>
  </si>
  <si>
    <t>1504801</t>
  </si>
  <si>
    <t>BOSTON CHILDREN'S HOSPITAL</t>
  </si>
  <si>
    <t>02115-5724</t>
  </si>
  <si>
    <t>1-FEB-2019</t>
  </si>
  <si>
    <t>Behavioral and Social Science;Brain Disorders;Clinical Research;Depression;Health Disparities;Mental Health;Mental Illness;Prevention;Sexual and Gender Minorities (SGM/LGBT*);Women's Health</t>
  </si>
  <si>
    <t>Project Summary/AbstractTransgender women, assigned a male birth sex who identify along the female gender spectrum, experiencesubstantial mental health disparities and high prevalence of incarceration relative to the US general population.Incarcerated transgender women experience widespread structural and interpersonal forms of stigma,including the denial of necessary healthcare. Cross-sectional research suggests that incarceration experiencescontribute to the mental health disparities observed among transgender women with incarceration histories, butlongitudinal research is lacking. While prisons provide a unique setting within which to clinically intervene toimprove the health of disproportionately incarcerated populations, without culturally and clinicallyknowledgeable providers, transgender inmates are excluded from this benefit. This F31 aims to improve thehealth of transgender women across two research aims: (1) Examine the psychosocial health trajectories oftransgender women according to their incarceration history using data from a prospective cohort study of UStransgender women (n=300). Specifically, we will examine the magnitude of the disparity in depressive distressand substance use at 4, 8, and 12 months comparing transgender women with and without incarcerationhistories, and test for differences in the intercept and slope of the trajectory between these groups over time.Additionally, we will explore the interaction between person-level (incarceration, demographics) and time-variant (stigma, resilience) predictors of depressive distress and substance use for transgender women todetermine risk and protective factors in this population. (2) Develop and pilot test an educational intervention toincrease prison healthcare providers' ability to care for transgender inmates. Using an implementation scienceframework, we will adapt an existing transgender competency training for healthcare providers to be inclusiveof the prison context; openly field test the intervention with 70 prison healthcare providers in a non-randomizedpilot; and evaluate intervention feasibility and acceptability, and changes in providers' knowledge, attitudes,and behavioral intentions to care for transgender patients at baseline, and immediately and 3 months post-intervention. The proposed research addresses an urgent need to equip prison providers with the knowledgeand skills to effectively care for transgender inmates. This pilot intervention will set the stage for futurerefinement and evaluation via a randomized controlled trial with the long-term goal of implementing this neededintervention in correctional institutions across the US. Thus, this research has far-reaching implications forimproving the mental health of transgender women during and after incarceration. Through the completion ofthis 2-year research and training fellowship, the applicant will gain training in advanced statistical methods,intervention development, and scientific communication. The extensive training provided by a multidisciplinarymentoring team will prepare the applicant for a successful career as an academic mentor and independentresearcher working to eliminate mental health disparities in gender minority populations.</t>
  </si>
  <si>
    <t>Address;Affect;Alcohol or Other Drugs use;Anxiety;Attitude;Behavior;Behavioral;Birth;career;Caring;Chronic;Clinical;Clinical Competence;Communication;Competence;Connecticut;convict;Correctional Institutions;Criminal Justice;cultural competence;Data;demographics;depressive symptoms;Development;Discrimination;Distress;Education;Educational Curriculum;Educational Intervention;Effectiveness;Employment;Evaluation;experience;Face;Fellowship;Female;field study;Future;Gender;Gender Identity;gender minority;General Population;Goals;Hand;Health;health disparity;Health Personnel;Health Services Accessibility;Healthcare;High Prevalence;implementation science;Imprisonment;improved;Income;Intercept;Intervention;Knowledge;Link;male;Medical;Mental Depression;Mental disorders;Mental Health;Mentors;Methods;Morbidity - disease rate;multidisciplinary;negative affect;Outcome;Participant;Patients;Persons;physical conditioning;Policies;Population;post intervention;Prisons;Prospective cohort study;Provider;psychosocial;Quality of Care;Randomized Controlled Trials;Recording of previous events;Reporting;Research;Research Personnel;Research Training;resilience;Resources;Risk;Self-Injurious Behavior;sex;skills;social stigma;Statistical Methods;stressor;Substance abuse problem;success;Suicide;Testing;therapy development;Time;Training;transgender;transgender women;Variant;Victimization;Woman;Work;</t>
  </si>
  <si>
    <t>Project Narrative Transgender women are disproportionately incarcerated and experience structural and interpersonal forms of stigma while incarcerated, which negatively affects their physical and mental health. The proposed study will lead to (1) the first estimates of the long-term mental health effects of incarceration among transgender women with incarceration histories; (2) the development of the first transgender cultural and clinical competency training for correctional healthcare providers containing a detailed curriculum and supporting materials; and (3) the first state-wide delivery and evaluation of a transgender cultural and clinical competency training to prison healthcare providers in Connecticut. This research has the potential to improve the mental and physical health of transgender women during incarceration and upon release.</t>
  </si>
  <si>
    <t>17-AUG-2017</t>
  </si>
  <si>
    <t>PA-14-147</t>
  </si>
  <si>
    <t>F31</t>
  </si>
  <si>
    <t>011203</t>
  </si>
  <si>
    <t>CASTILLE, DOROTHY M</t>
  </si>
  <si>
    <t>Special Emphasis Panel (ZRG1-F16-L (20)L)</t>
  </si>
  <si>
    <t>HUGHTO, JACLYN WHITE</t>
  </si>
  <si>
    <t>043207562</t>
  </si>
  <si>
    <t>9420201</t>
  </si>
  <si>
    <t>YALE UNIVERSITY</t>
  </si>
  <si>
    <t>NEW HAVEN</t>
  </si>
  <si>
    <t>CT</t>
  </si>
  <si>
    <t>OTHER DOMESTIC HIGHER EDUCATION</t>
  </si>
  <si>
    <t>06520-8327</t>
  </si>
  <si>
    <t>1-SEP-2017</t>
  </si>
  <si>
    <t>Adolescent Sexual Activity;Behavioral and Social Science;Clinical Research;Clinical Trials and Supportive Activities;HIV/AIDS;Health Disparities;Infectious Diseases;Minority Health;Patient Safety;Pediatric;Prevention;Sexual and Gender Minorities (SGM/LGBT*)</t>
  </si>
  <si>
    <t>DESCRIPTION (provided by applicant): Young men who have sex with men (MSM) and transgender women are at alarmingly high risk for HIV, and the risk among women who have sex with women and transgender men is estimated to be at least as high as that of heterosexuals. However, there are no empirically recommended behavioral or biomedical HIV prevention programs for lesbian, gay, bisexual, and transgender youth (LGBTY) under the age of 18 despite this clear evidence of need. A major reason for the absence of HIV prevention programs in this population is the challenge of initiating research on LGBTY under age 18. There is a lack of consensus among investigators and their IRBs about appropriate ethical procedures for protecting LGBTY's research rights and welfare. And, without empirical data to guide their decisions, IRBs must often rely on subjective judgments that can lead to over- or under-estimation of the magnitude and probability of risks of LGBTY participation in HIV prevention research. Consequently, many investigators have excluded LGBTY under 18 in HIV prevention research because of anticipated or actual difficulties obtaining IRB approval. This unfortunate exclusion prevents LGBTY from participating in research that has the potential to determine the safety, efficacy, and effectiveness of HIV behavioral or biomedical preventive interventions that are developmentally appropriate for this population. The overarching goal of the current proposal is to inform evidence-based decision making by investigators and IRBs alike regarding the responsible design and conduct of HIV prevention research involving LGBTY. We propose to address this knowledge gap with three specific aims: (1) To inform ethically responsible decision making and IRB application of relevant federal regulations (?46.102i; ?46.111.a) to the evaluation of psychological, social and informational risk-benefits ofLGBTY involvement in HIV prevention research. Using focus groups and surveys we will generate empirical data on LGBTY's appraisals of the magnitude and probability of the risks and anticipated benefits of recruitment strategies, risk behavior surveys, HIV/STI and drug use testing, and biomedical prevention trial participation. (2) To inform ethically responsible decisio making and IRB application of regulations permitting waivers of guardian permission (?46.116d and ?46.408c) for LGBTY participation in HIV prevention research. Using focus groups and surveys we will generate empirical data on LGBTY's appraisals of whether guardian permission is or is not a 'practical' or a 'reasonable' requirement for their participation in studies involvig risk behavior surveys, HIV/STI and drug use testing, and biomedical prevention trials. We will explore if these appraisals differ by youth characteristics (e.g., degree of 'outness,' HIV risk). (3): To inform ethically responsible decision making and IRB application of regulations on youth capacity to consent (?46.116d and ?46.408c) for LGBTY participation in biomedical HIV prevention trials. Using a hypothetical HIV prevention trial, we will generate empirical data on the consent preparedness of LGBT youths' ages 14 - 17 compared to LGBT youth with adult legal status (18 - 20 years).</t>
  </si>
  <si>
    <t>18 year old;20 year old;Address;Adolescent;Adult;Age;age difference;AIDS prevention;Area;Attitude;Authorization documentation;Behavioral;Benefits and Risks;Characteristics;child and adolescent victimization;Conflict (Psychology);Consensus;Consent;Data;Decision Making;design;Development;disparity reduction;drug abuse prevention;drug testing;Drug usage;Effectiveness;Ethics;ethnic diversity;Evaluation;evidence base;Exclusion;Family;Focus Groups;Gender Identity;Goals;Health;Heterosexuals;high risk;HIV;HIV Infections;HIV prevention trial;HIV risk;HIV-1;HIV/STD;improved;Informed Consent;Institutional Review Boards;Judgment;Knowledge;knowledge base;Lead;Legal;Legal Status;Lesbian Gay Bisexual;Lesbian Gay Bisexual Transgender;Nature;Outcome;permissiveness;Pharmaceutical Preparations;Phase;Population;prevent;Prevention program;Prevention Research;Prevention trial;Preventive;Preventive Intervention;Probability;Procedures;psychologic;psychosocial;public health relevance;Readiness;Recruitment Activity;Regulation;Research;Research Ethics;Research Personnel;Research Proposals;Rights;Risk;Risk Behaviors;Safety;sex;Sex Orientation;social;Social Welfare;Surveys;Testing;transgender;transgender men;transgender women;waiver;women who have sex with women;young men who have sex with men;Youth;</t>
  </si>
  <si>
    <t>PUBLIC HEALTH RELEVANCE: Lesbian, gay, bisexual, and transgender youth under age 18 [LGBTY] are at high risk for HIV and other negative health outcomes. However, LGBTY are often excluded from research that has the potential to improve their health - particularly their rik of HIV infection - due to lack of knowledge on how to conduct research with this population in an ethical, responsible way. In hopes of ultimately reducing LGBTY's barriers to participating in HIV prevention research, the goal of this proposal is to assess LGBTYs knowledge of the risks and benefits of involvement in research related to HIV prevention, and the extent to which they are able to provide informed consent at a level equivalent to that of adults.</t>
  </si>
  <si>
    <t>10-MAY-2017</t>
  </si>
  <si>
    <t>009561</t>
  </si>
  <si>
    <t>Special Emphasis Panel (ZRG1-AARR-L (56)R)</t>
  </si>
  <si>
    <t xml:space="preserve">MUSTANSKI, BRIAN  </t>
  </si>
  <si>
    <t>FISHER, CELIA B</t>
  </si>
  <si>
    <t>005436803</t>
  </si>
  <si>
    <t>6144650</t>
  </si>
  <si>
    <t>NORTHWESTERN UNIVERSITY AT CHICAGO</t>
  </si>
  <si>
    <t>60611-3152</t>
  </si>
  <si>
    <t>1-JUN-2017</t>
  </si>
  <si>
    <t>Behavioral and Social Science;Health Disparities;Homicide and Legal Interventions;Injury (total) Accidents/Adverse Effects;Injury - Childhood Injuries;Mental Health;Minority Health;Pediatric;Prevention;Sexual and Gender Minorities (SGM/LGBT*);Substance Abuse;Suicide;Suicide Prevention;Violence Research;Women's Health</t>
  </si>
  <si>
    <t>PROJECT SUMMARY/ABSTRACTLesbian, gay, bisexual, and transgender (LGBT) adolescents and adults, when compared to similar others, are at increasedrisk for suicide attempts and exposure to violence victimization. Suicide mortality is also elevated, especially amongwomen, though research studies are sparse. Accordingly, NIH has formally designated sexual/gender minorities a healthdisparity population. Yet there remain large gaps in the scientific knowledge base that undermine development,dissemination and implementation of effective public health interventions to reduce risk in this vulnerable population.These include whether rates of homicide are similarly elevated among LGBT persons, whether suicide rates are elevatedamong the transgender population, what role gender and race/ethnicity play in shaping risk, as well as clarification of thecontextual factors surrounding these deaths, including missed opportunities for intervention. The primary goal of theproject is to identify patterns of risk and to characterize proximal factors associated with violent death due to suicide andhomicide among LGBT individuals. Drawing from Minority Stress Theory and, for suicides, the `ideation-to-action'framework, we hypothesize that anti-gay stigma and discrimination creates a vulnerability for violent death among LGBTadolescents and adults. Capitalizing on new information classifying deaths for LGBT status in recent years of theNational Violent Death Reporting System (NVDRS), we will make novel use of supervised machine learning techniquesto recapture LGBT status among deaths in those 12 years and older in the 2003-2015 NVDRS (&gt; 200,000 suicides,homicides, or homicide-suicides). Similar techniques will also be used to code NVDRS death narratives for co-occurringstigma-based contextual factors (e.g., gay disclosure, familial rejection), risk profiles (e.g. mental health, substance use),and recent services use in the immediate circumstances surrounding the death. This will allow us to achieve two studyaims. For Aim 1, we will use NVDRS data and exogenous information estimating LGBT population size to generatestate-level estimates of suicide and homicide rates, adjusted for population composition, among individuals 12 years andolder. We hypothesize that LGBT population risk estimates for suicide and homicide will exceed those of non-LGBTpopulations. For Aim 2, we will identify sexual orientation and gender minority-linked differences in predisposing andproximal factors associated with suicide and homicide, including indicators of mental health and substance use, patternsof recent health care access, and characteristics of death circumstances, including HIV infection status. Consistent withtheoretical predictions, we hypothesize that recent discrimination experiences will be strongly associated with sexualorientation and transgender status, that homicide deaths will more likely show evidence of hate-crime-related contextualfactors, and that HIV-related issues will be an important though downward trending precipitant of suicide among sexualminority men. We also anticipate gender and ethnic/racial differences in these effects that will have importantimplications for future risk reducing interventions. Information obtained will greatly aid achieving the AmericanFoundation for Suicide Prevention Project 2025 goal of reducing the suicide rate 20% by 2025 and NIMH's Zero Suicideefforts by providing interventionists with data to design screening and intervention efforts for the LGBT population.</t>
  </si>
  <si>
    <t>12 year old;Address;Adolescent;Adolescent Risk Behavior;Adult;Alcohol abuse;Alcohol or Other Drugs use;American;base;behavioral health;Behavioral Risk Factor Surveillance System;Birth;Centers for Disease Control and Prevention (U.S.);Cessation of life;Characteristics;Classification;Code;Community Surveys;Comorbidity;contextual factors;Crime;Data;Databases;Death Rate;design;Development;Disclosure;Discrimination;Drug abuse;Drug usage;Epidemiology;Ethnic Origin;Event;experience;Feeling suicidal;Foundations;Future;Gays;Gender;Gender Identity;gender minority;Goals;Hate;health disparity;Health Services Accessibility;Healthcare;Heterosexuals;HIV;HIV Infections;Homicide;illicit drug use;Individual;Information Systems;innovation;Intervention;knowledge base;Lesbian Gay Bisexual;Link;Machine Learning;Measurement;Measures;men;Mental Depression;Mental Health;Methodology;Methods;Minority;mortality disparity;National Health Interview Survey;National Institute of Mental Health;novel;Pathway interactions;Pattern;Persons;Pharmaceutical Preparations;Play;Population;Population Research;Population Sizes;Populations at Risk;Precipitating Factors;Predisposing Factor;Public Health;public health intervention;Race;racial and ethnic;racial difference;reducing suicide;Reporting;research study;Risk;Risk Behaviors;Risk Estimate;Risk Factors;Risk stratification;Role;screening;Services;Sex Orientation;Sexual and Gender Minorities;sexual minority;Shapes;social stigma;Stress;stressor;Suggestion;suicidal morbidity;suicidal risk;Suicide;Suicide attempt;suicide mortality;Suicide prevention;suicide rate;Sum;Supervision;System;Techniques;theories;Time;Time trend;transgender;trend;United States National Institutes of Health;Violence;violence exposure;violence victimization;Vulnerable Populations;Woman;Work;</t>
  </si>
  <si>
    <t>PROJECT NARRATIVE The proposed project addresses an important public health problem—lesbian, gay, bisexual, and transgender (LGBT) individuals likely experience higher rates of violent death, including suicide and possibly homicide, than other persons. Why this occurs has yet to be fully determined. This study investigates both predisposing and precipitating factors linked to violent death among LGBT individuals, age 12 years and older. Our goal is to identify modifiable, explanatory factors that can account for mortality disparities between LGBT and non-LGBT individuals.</t>
  </si>
  <si>
    <t>9-NOV-2017</t>
  </si>
  <si>
    <t>115344</t>
  </si>
  <si>
    <t>RUPP, AGNES</t>
  </si>
  <si>
    <t>1-DEC-2017</t>
  </si>
  <si>
    <t>30-NOV-2019</t>
  </si>
  <si>
    <t xml:space="preserve">COCHRAN, SUSAN D </t>
  </si>
  <si>
    <t>MAYS, VICKIE M</t>
  </si>
  <si>
    <t>33</t>
  </si>
  <si>
    <t>092530369</t>
  </si>
  <si>
    <t>577505</t>
  </si>
  <si>
    <t>UNIVERSITY OF CALIFORNIA LOS ANGELES</t>
  </si>
  <si>
    <t>90095-2000</t>
  </si>
  <si>
    <t>30-NOV-2018</t>
  </si>
  <si>
    <t>PROJECT SUMMARYAdolescents account for 42% of new HIV infections worldwide, and almost 90% of these infections areacquired across the anogenital mucosa1,2. Beyond behavioral risk factors, the influences of the dramatic,dynamic shifts in hormones during adolescent reproductive development on the anal and vaginal mucosa maydrive mucosal vulnerability to HIV infection. Extreme hormonal shifts in transgender adolescents undergoingcross-sex hormone therapy may contribute to the alarmingly high 25% transmission rates seen in this group1,3-6. This proposal directly addresses adolescent biologic risk factors for HIV susceptibility in gender conforming(cis) and transgender (trans) adolescents, taking advantage of the unique hormonal manipulation in transindividuals to define the influence of testosterone and estrogen on mucosal integrity and inflammation withinthe anal and vaginal mucosa. Comparisons to conventional puberty in cis adolescents provide the opportunityto refine our understanding the mucosal effects of sex-steroids. We will define normative indices of anogenitalmicrobial communities using 16s rRNA sequencing and mass spectrometry proteomics of vaginal proteins.These normative values will be evaluated in the context of blood hormone levels, Tanner sexual maturity, andmucosal trauma from self-reported sexual activity (ACASI) throughout the individual's progression eitherthrough: (1) conventional sexual maturation in cis adolescents, or (2) during pubertal hormonal blockade withgonadotropin-releasing hormone (GnRH), and subsequent sexual maturation with cross-sex hormones(estrogen, testosterone) in trans adolescents. We will obtain rectal biopsies from cis and trans gender youth,and use an ex vivo rectal tissue model to evaluate the impact of sex steroid hormones, sexual trauma andmicrobial communities on HIV infection. Furthermore, we will identify proteomic signatures of vaginalinflammation, mucosal barrier disruption, and differences in anogenital microbial communities that may berelated to HIV susceptibility. This study will ultimately characterize the effects of sex steroid hormones andsexual trauma on commensal anogenital microbial communities and vaginal mucosal proteins that conferincrease risk to mucosal HIV transmission in adolescents. This study provides desperately-needed publichealth data to clarify biologic risk factors that contribute to HIV acquisition and pathogenesis in these at-riskadolescent populations, in particular the effects of reproductive maturation and injury upon anogenital mucosalenvironments. The information gained will provide a significant platform for future hypothesis-generatingstudies that address modulation of HIV susceptibility and efficacious biomedical HIV prevention strategies inthis highly vulnerable population.</t>
  </si>
  <si>
    <t>16S ribosomal RNA sequencing;Address;Adolescence;Adolescent;Adolescent HIV risk;Adolescent Medicine;Adult;AIDS prevention;Anus;Applications Grants;Behavioral;Biological;Biological Factors;Biological Markers;Biopsy;Blood;Characteristics;cisgender;cohort;Color;Data;Development;Endocrinologist;Environment;Epithelial;Estrogens;fluidity;Future;Gastroenterologist;Gender;gender nonconforming;Gonadal Steroid Hormones;Gonadotropin Hormone Releasing Hormone;health data;high risk population;HIV;HIV Infections;HIV-1;HIV-infected adolescents;Hormonal;hormone therapy;Hormones;Immune;immune activation;Immune system;Immunologist;Immunology;indexing;Individual;Infection;Inflammation;Injury;insight;Knowledge;Mass Spectrum Analysis;Measures;men;Microbe;microbial;microbial community;microbiome;microbiota;Modeling;mucosal site;Mucous Membrane;Pathogenesis;Patient Self-Report;pediatrician;Phase;Physiological;Population;Predisposition;Prevention strategy;Process;protein biomarkers;protein expression;Proteins;proteomic signature;Proteomics;Puberty;Public Health;rapid growth;rectal;reproductive;reproductive development;response;Risk;Risk Factors;Secondary to;sex;Sex Behavior;Sexual Maturation;sexual trauma;Shotguns;Specialist;Structure;Technology;Testing;Testosterone;Tissue Model;Tissues;transgender;transmission process;Trauma;Vagina;vaginal mucosa;Vulnerable Populations;Woman;young man;Youth;</t>
  </si>
  <si>
    <t>PROJECT NARRATIVE This important study will significantly advance our understanding of the biologic factors that contribute to HIV infection in adolescents. Our findings will generate needed data on the influence of reproductive maturation and injury on transmission of HIV across the anogenital mucosa. These insights will be used to develop hypothesis-driven studies that can validate biomarkers and elucidate mechanisms that offer new prevention strategies in this highly vulnerable population.</t>
  </si>
  <si>
    <t>NIAID</t>
  </si>
  <si>
    <t>10-JAN-2019</t>
  </si>
  <si>
    <t>RFA-AI-15-058</t>
  </si>
  <si>
    <t>AI</t>
  </si>
  <si>
    <t>128796</t>
  </si>
  <si>
    <t>TURPIN, JIM A</t>
  </si>
  <si>
    <t>24-FEB-2017</t>
  </si>
  <si>
    <t>Special Emphasis Panel (ZRG1-AARR-D (51)R)</t>
  </si>
  <si>
    <t xml:space="preserve">ALDROVANDI, GRACE M </t>
  </si>
  <si>
    <t>ANTON, PETER A</t>
  </si>
  <si>
    <t>31-JAN-2020</t>
  </si>
  <si>
    <t>855</t>
  </si>
  <si>
    <t>OD</t>
  </si>
  <si>
    <t>Project Summary/AbstractTitle: Gender identity and own body perception – implications for the neurobiology of gender dysphoriaIndividuals with gender dysphoria (GD) experience a stark contrast between their gender identity and theirgender assigned at birth. These individuals discover, early in development or later in life, that their body isincongruent with their gender identity. Persistent desire for the physical characteristics and social roles of theother sex contributes to dysphoria. Public awareness of the diversity of gender experience is rising, and issuesof those with GD related to self-identity, body image, and medical interventions are becoming more openlydiscussed across the globe. As this is occurring, more and more individuals are considering, or actuallyundergoing, treatments to alter their hormones and physical body in attempt to better conform to their genderidentity. These interventions, termed medical gender (identity) confirming interventions include genderconfirming or sex reassignment surgery and cross sex hormone treatment. Many individuals will obtain thesecostly, usually irreversible, invasive, and sometimes risky measures to address incongruence between theirgender identity and their body. This is quickly becoming a critical global health issue; yet there is very littleunderstanding of what developmental, neurobiological, and sociocultural factors contribute to GD, and whomay or may not benefit from these procedures, including those who experience gender ambiguity rather thandysphoria. However, studies of brain structure have found abnormalities in cerebral midline structures, andrecent studies found differences in functional connectivity within resting state networks associated with self-referential thinking, as well as differences in the functional neural circuitry related to body perception. Thepurpose of this study is to address core symptoms of GD–dissatisfaction and estrangement from the own body,and self-referential thinking–by using behavioral experiments and functional and structural neuroimaging toinvestigate the cerebral networks mediating own body perception in individuals with GD compared to cis-sexual controls, and how they relate to subjective body self-incongruence. We will also investigate thelongitudinal effects of estrogen and testosterone treatment on brain functional connections and bodyphenotype, and how brain structure/function, body phenotype, and hormones pre-treatment may predict whowill benefit in terms of improvement of dysphoria and quality of life. As an exploratory aim we will investigate anovel body-morph visual processing task in its reliability and validity for research and clinical use. Studyingindividuals in both Sweden and the United States will additionally allow us to investigate the effect of stressrelated to differential cultural stigmatization of non-conforming gender roles. This study will provide valuableinformation on the neurobiological underpinning of GD and the effects of sex hormones, and promises touncover functional or structural neural patterns that could predict outcome in terms of body image and qualityof life after cross-sex hormone treatment, which ultimately could be used to assist in medical decision-making.</t>
  </si>
  <si>
    <t>Address;Affect;Aftercare;Anatomy;Anterior;Area;Awareness;base;Behavioral;Birth;Body Image;Brain;Cerebrum;Characteristics;cingulate gyrus;Clinic;Clinical;Clinical Research;cost;Costs and Benefits;Data;Decision Making;Development;Dose;dysphoria;Estrogens;Etiology;Evaluation;Exhibits;experience;experimental study;Female;Functional Magnetic Resonance Imaging;Gender;Gender Confirmation Surgery;gender diversity;gender dysphoria;Gender Identity;gender nonconforming;Gender Role;global health;Gonadal Steroid Hormones;Hormonal;Hormones;Image;improved;Individual;Institutes;interest;Intervention;Investigation;Left;Life;Link;Magnetic Resonance Imaging;male;Measures;Mediating;Medical;Modeling;neural circuit;neural patterning;Neurobiology;neuroimaging;novel;Operative Surgical Procedures;Outcome;outcome prediction;Participant;Pattern;Perception;Personal Satisfaction;Phenotype;Population;Procedures;Quality of life;Questionnaires;recruit;Reporting;Research;Rest;Role;satisfaction;Self Perception;Series;sex;sexual dimorphism;Site;Stigmatization;Stress;Structure;suicide rate;Sweden;Symptoms;Testing;Testosterone;Thick;Thinking;transgender;United States;urban area;Validity and Reliability;Visual;visual processing;Waist-Hip Ratio;</t>
  </si>
  <si>
    <t>Project Narrative Project Narrative: Perturbations of the experience of self and gender identity motivate individuals with gender dysphoria to undergo hormone and surgical alterations. However, little is known about the neural circuitry involved in body perception in these individuals, how it is affected by hormonal treatment, and what may predict better or worse longitudinal outcome after treatment. This study will provide valuable information on the neurobiological underpinning of gender dysphoria, and promises to uncover brain structure, activation, and connectivity, as well as body phenotype and hormonal patterns that could predict outcome in terms of body image and quality of life after cross-sex hormone treatment, which ultimately could be used to assist in medical decision-making.</t>
  </si>
  <si>
    <t>PA-13-302</t>
  </si>
  <si>
    <t>087712</t>
  </si>
  <si>
    <t>LEE, KAREN</t>
  </si>
  <si>
    <t>22-AUG-2017</t>
  </si>
  <si>
    <t>31-JUL-2022</t>
  </si>
  <si>
    <t xml:space="preserve">FEUSNER, JAMIE  </t>
  </si>
  <si>
    <t xml:space="preserve">SAVIC-BERGLUND, IVANKA </t>
  </si>
  <si>
    <t>NONE</t>
  </si>
  <si>
    <t>1-AUG-2019</t>
  </si>
  <si>
    <t>31-JUL-2020</t>
  </si>
  <si>
    <t>Alcoholism, Alcohol Use and Health;Basic Behavioral and Social Science;Behavioral and Social Science;Clinical Research;Drug Abuse (NIDA only);Sexual and Gender Minorities (SGM/LGBT*);Substance Abuse</t>
  </si>
  <si>
    <t>PROJECT SUMMARY/ABSTRACTThe primary objective of the proposed project is to describe relationships among minority stress, body imagedistress, impulsivity, and use of substances/alcohol and non-prescription testosterone among transgenderfemale-to-male (FTM) persons. FTMs are male-identified individuals who were assigned female sex at birth.Substance use is a substantial public health risk among FTMs, with FTMs reporting elevated use ofsubstances and alcohol. As well, some FTMs may use non-prescription testosterone to achieve a level ofmuscularity surpassing what could be obtained by use of prescription doses of testosterone. TransgenderFTMs may be at risk for experiencing minority stress and body image distress. Minority stress and body imagedistress may contribute to transgender FTMs substances/alcohol use to cope with stress, and non-prescriptiontestosterone use to alter their body to a more masculine presentation. As well, impulsivity has been implicatedas a moderator of relationship between general stress and use of substances/alcohol such that individuals withhigher levels of impulsivity are more likely to use and abuse substances/alcohol compared to those low inimpulsivity. Thus, impulsivity may moderate the links between minority stress and body image distress, andsubstance/alcohol and non-prescription testosterone use, such that higher levels of impulsivity in the context ofminority stress and body image distress are associated with increased use of substances/alcohol andtestosterone. The aims of the proposed research are to (1) describe the association between minority stressand body image distress, and substance/alcohol use among transgender FTMs and assess whether thisrelationship is moderated by impulsivity, (2) describe the association between minority stress and body imagedistress, and non-prescription testosterone use among transgender FTMs and assess whether this relationshipis moderated by impulsivity, and (3) describe the relationship between substance/alcohol use and non-prescription testosterone use among transgender FTMs. Results of the proposed research can help to informfuture research and interventions focused on substance/alcohol use and use of non-prescription testosteroneamong this population.</t>
  </si>
  <si>
    <t>Alcohol consumption;Alcohol or Other Drugs use;Alcohols;Attitude;base;Birth;Body Image;career;Chronic stress;Clinic;Communities;coping;Distress;Dose;Equation;experience;Female;Gender Identity;gender transition;Goals;high risk;Impulsivity;Individual;insight;Intervention;Knowledge;Link;male;Masculine;Medical;Methods;Minority;Modeling;Outcome;Persons;Population;Principal Investigator;Public Health;Reporting;Research;Risk;Sampling;sex;sexual minority;social;Social Network;Stress;Testosterone;transgender;use alcohol to cope;</t>
  </si>
  <si>
    <t>PROJECT NARRATIVE Use of substances/alcohol and non-prescription testosterone pose a significant public health risk for female-to- male (FTM) transgender persons. The objective of this proposal is to understand how the minority stress model, body image distress, and impulsivity are related to substance/alcohol and non-prescription testosterone use among FTMs. This project will provide insight into links among these variables among a population at high risk for minority stress and body image distress, and use of substances/alcohol and non-prescription testosterone.</t>
  </si>
  <si>
    <t>19-SEP-2016</t>
  </si>
  <si>
    <t>PAR-12-251</t>
  </si>
  <si>
    <t>R03</t>
  </si>
  <si>
    <t>042226</t>
  </si>
  <si>
    <t>GORDON, HAROLD</t>
  </si>
  <si>
    <t>30-SEP-2016</t>
  </si>
  <si>
    <t>31-AUG-2017</t>
  </si>
  <si>
    <t>Special Emphasis Panel (ZRG1-BBBP-X (58)R)</t>
  </si>
  <si>
    <t>PARENT, MICHAEL C</t>
  </si>
  <si>
    <t>19</t>
  </si>
  <si>
    <t>041367053</t>
  </si>
  <si>
    <t>8285901</t>
  </si>
  <si>
    <t>TEXAS TECH UNIVERSITY</t>
  </si>
  <si>
    <t>LUBBOCK</t>
  </si>
  <si>
    <t>TX</t>
  </si>
  <si>
    <t>79409-1035</t>
  </si>
  <si>
    <t>Behavioral and Social Science;Clinical Research;Drug Abuse (NIDA only);HIV/AIDS;Mental Health;Prevention;Substance Abuse</t>
  </si>
  <si>
    <t xml:space="preserve">   DESCRIPTION (provided by applicant): Transgender is an umbrella term used to refer to individuals whose gender identity and/or gender expression do not align with what is typically socially ascribed for their biological sex (e.g., a person who is biologically female but identifie as a man). The transgender population encounters a number of health disparities, including elevated levels of mental illness, substance use, and HIV risk. These co-occurring epidemics, also known as a syndemic, may be explained by experiencing elevated rates of minority stressors, including discrimination, harassment, victimization, identity concealment, and internalized transphobia (or a negative self-view related to one's transgender identity). Research with this population has been limited and most studies combine transgender participants (often extremely small samples) with lesbian, gay, and bisexual samples, which ignores the distinct experiences of transgender men and women. Additionally, research has yet to longitudinally explore how these epidemics relate to each other to reveal insights into how the syndemic is produced in this population. To address the dearth of research in this area, a two phase study will be completed. Due to the limited data available, a transgender community advisory board will be convened in Phase 1 of the study, whose aim will be to assure cultural relevance of all aspects of research and inform the daily diary study. This is particularly important given the limited data available and the fact that research may be overlooking critical components of minority stress that the advisory committee will elucidate. In Phase 2, the daily diary study, the specific aims are: 1) elucidate the relations between HIV risk and elevated levels of substance use, minority stress, and psychological distress; 2) identify social/interpersonal (isolation and gender affirmation - gaining social recognition of one's gender identity) and psychological/cognitive mechanisms (rumination and internalized transphobia) that link minority stress, specifically enacted stigma (discrimination, harassment, victimization) to risky sexual behaviors, increased substance use, and psychological distress; and 3) explore gender and racial differences in the above described aims. In Phase 2 of the study, a 2 month daily diary design will be implemented with a sample of transgender men and transgender women. During Phase 2, participants will track their experiences of minority stress, affect/mental health, substance use, and sexual behaviors (gender and sex of partners, types of sexual encounters, use of condoms), as well as the mechanisms of interest (isolation, gender affirmation, rumination, and internalized transphobia). Hierarchical linear modeling will be utilized to longitudinally assess predictors of the multiple epidemics (mental health, substance use, and HIV risk). Results of this study will provide much needed information for the development of future interventions to decrease these disparities in the transgender population.      </t>
  </si>
  <si>
    <t>Address;Advisory Committees;Affect;Alcohol or Other Drugs use;Anxiety;Appearance;Area;base;Biological;Bisexual;Chest;Chicago;Cognitive;Communities;condoms;Consult;Consultations;Contracts;Data;design;Development;diaries;Discrimination;effective intervention;Ensure;Epidemic;experience;Feedback;Feeling suicidal;Female;Future;Gays;Gender;Gender Identity;Health;health disparity;high risk sexual behavior;HIV;HIV risk;Individual;innovation;insight;interest;Intervention;Interview;Latino;Lesbian;Life Experience;Linear Models;Link;man;Measures;meetings;member;men;Mental disorders;Mental Health;Meta-Analysis;Minority;Modeling;Monitor;Operative Surgical Procedures;Participant;Persons;Phase;phase 1 study;phase 2 study;Population;Postdoctoral Fellow;Prevalence;Process;Psyche structure;psychologic;psychological distress;Public Health;public health relevance;racial difference;Recommendation;reconstruction;Recruitment Activity;Research;Research Personnel;Research Training;Risk;Risk Behaviors;Role;Sampling;Self Perception;sex;Sex Behavior;Sex Characteristics;sexual encounter;Sexual Partners;social;social stigma;Stress;stressor;Testosterone;Time;transgender;Unsafe Sex;Victimization;Woman;</t>
  </si>
  <si>
    <t>PUBLIC HEALTH RELEVANCE: This study will elucidate mechanisms important to understanding the emergence of the multiple epidemics encountered by transgender men and women (substance use, HIV risk, and mental health concerns). Given the extremely high odds of contracting HIV in the transgender population compared to those who are cisgender (meaning not transgender), this is a public health imperative that needs more focused research that can identify promising targets for future interventions to decrease these health disparities.</t>
  </si>
  <si>
    <t>16-JUN-2014</t>
  </si>
  <si>
    <t>PA-11-113</t>
  </si>
  <si>
    <t>038557</t>
  </si>
  <si>
    <t>1-SEP-2014</t>
  </si>
  <si>
    <t>31-AUG-2015</t>
  </si>
  <si>
    <t>Special Emphasis Panel (ZRG1-AARR-C (22)L)</t>
  </si>
  <si>
    <t xml:space="preserve">PUCKETT, JULIA </t>
  </si>
  <si>
    <t>ABSTRACTLesbian, gay, bisexual, and/or transgender (LGBT) caregivers of persons with Alzheimer’s disease and relateddementias (ADRD) remain under-researched and, thus, underserved. What is known is that LGBT adults,including those providing informal care, experience greater health disparities than their heterosexualcounterparts in terms of the prevalence of chronic disease, disability, access to care, and caregiver strain.Specific data related to LGBT caregivers of persons with ADRD, particularly related to the psychosocial impactof caregiving, are lacking. Not surprisingly, recent calls from the National Institute on Aging and the NationalAcademy of Medicine focus on examining the health of LGBT individuals related to aging, ADRD, andcaregiving. These data are critical to address the health disparities experienced by this population. Thus, thespecific aims of the proposed study are (1) to characterize psychosocial measures related to environmental,psychological, social, behavioral, and health factors among LGBT adult caregivers providing care for personswith ADRD; and (2) to determine the effects of care recipient (sexual gender minority status, neuropsychiatricsymptoms) and caregiver (stigma, perceived stress, self-efficacy, and historical and environmental factors[victimization, discrimination, microaggressions]) characteristics on family quality of life, caregiver strain, andmood/depressive symptoms among LGBT caregivers compared with non-LGBT caregivers of persons withADRD. A link to an electronic survey with items and measures guided by the Health Equity Promotion Model,including the Family Quality of Life in Dementia scale, the Neuropsychiatric Inventory Questionnaire, Activitiesof Daily Living, and the Center for Epidemiological Study Depression Scale, as well as demographiccharacteristics, will be disseminated using social media platforms with posts specifically targeted toward LGBTcaregivers of persons with ADRD. The proposed project will be the first study to provide essential datadescribing the unique needs of these caregivers.</t>
  </si>
  <si>
    <t>Academy;Activities of Daily Living;Address;Adult;Age;Aging;Alzheimer's Disease;Alzheimer's disease related dementia;Applications Grants;Behavioral;behavioral health;care recipients;caregiver strain;Caregivers;caregiving;Caring;center for epidemiological studies depression scale;Characteristics;Chronic Disease;Communities;Data;Data Collection;Dementia;dementia caregiving;depressive symptoms;Development;disability;Discipline of Nursing;Discrimination;Elderly;Environmental Risk Factor;Equipment and supply inventories;ethnic diversity;experience;Family;Foundations;Friends;Future;Gender Identity;General Population;Goals;Health;health disparity;health equity;Health Services Accessibility;Health Status;Heterosexuals;High Prevalence;Incontinence;Individual;informal care;informal caregiver;Injections;Institute of Medicine (U.S.);Intervention;intervention effect;Lesbian Gay Bisexual;Link;loved ones;Measures;Medical;Medicine;Mental Health;mindfulness;Modeling;Moods;National Institute on Aging;neuropsychiatric symptom;neuropsychiatry;perceived stress;Personal Satisfaction;Persons;Pharmaceutical Preparations;physical conditioning;Population;Population Intervention;Prevalence;programs;psychologic;psychosocial;Psychosocial Factor;Public Health;Quality of life;Questionnaires;racial diversity;Reporting;Research;Resources;Respondent;Risk;Self Efficacy;service intervention;Sexual and Gender Minorities;sexual identity;social;social media;social stigma;Spouses;Stress;Subgroup;Surveys;Testing;transgender;United States National Institutes of Health;Victimization;wound;young adult;</t>
  </si>
  <si>
    <t>RELEVANCE TO PUBLIC HEALTH Lesbian, gay, bisexual, and/or transgender (LGBT) adults experience a higher prevalence of chronic disease and disability, as well as a poorer physical and mental health status. Many of these LGBT adults serve as caregivers for a love one with dementia, yet little is known about the experience and characteristics of this under-researched and underserved community of caregivers. These data are critical to address the health disparities experienced by this population in a targeted fashion.</t>
  </si>
  <si>
    <t>NIA</t>
  </si>
  <si>
    <t>29-JAN-2019</t>
  </si>
  <si>
    <t>PAR-15-350</t>
  </si>
  <si>
    <t>AG</t>
  </si>
  <si>
    <t>058528</t>
  </si>
  <si>
    <t>GERALD, MELISSA S</t>
  </si>
  <si>
    <t>Special Emphasis Panel (ZRG1-HDM-Y (57))</t>
  </si>
  <si>
    <t>ANDERSON, JOEL G.</t>
  </si>
  <si>
    <t>003387891</t>
  </si>
  <si>
    <t>578304</t>
  </si>
  <si>
    <t>UNIVERSITY OF TENNESSEE KNOXVILLE</t>
  </si>
  <si>
    <t>KNOXVILLE</t>
  </si>
  <si>
    <t>TN</t>
  </si>
  <si>
    <t>SCHOOLS OF NURSING</t>
  </si>
  <si>
    <t>37916</t>
  </si>
  <si>
    <t>866</t>
  </si>
  <si>
    <t>Behavioral and Social Science;Clinical Research;HIV/AIDS;Infectious Diseases;Mental Health;Pediatric;Pediatric AIDS;Prevention;Sexual and Gender Minorities (SGM/LGBT*)</t>
  </si>
  <si>
    <t>DESCRIPTION (provided by applicant): The majority of new HIV cases in the US occur among youth under 25 years old. Among infected youth, most are part of marginalized populations. Transgender female youth are a stigmatized and marginalized youth population disproportionately at risk for HIV. The two HIV risk studies of transgender female youth to date have found that one in five are HIV-infected before the age of 25. In San Francisco, transyouth have the highest HIV prevalence of any population, the highest proportion of AIDS cases among youth, and the fastest rate of death due to AIDS in the city. Despite their extraordinary risk for HIV, transgender female youth are understudied in the scientific literature. Gaps in the data exist due to cross-sectional study designs with convenience samples of transyouth who represent only the most risky sub- populations. In part due to these gaps, to date there are no HIV prevention interventions that have been developed specifically for this population. We propose to conduct a longitudinal qualitative and epidemiological study of 300 transgender female youth ages 16-24 years to examine HIV-related risk behaviors and identify protective factors for resilience. We will reach and retain participants by taking an innovative approach to adapting respondent driven sampling using socially interactive technologies. The Specific Aims of this application are to adapt and refine measures of protective factors and to explore resilience among transyouth, determine risk factors specific to development that explain engagement in HIV-related risk behaviors among transyouth, and identify protective factors for HIV-related risk behaviors among transyouth. The methods to be investigated, refined, and applied for this research are critical to the evidence base of HIV prevention for diverse populations of MSM and other marginalized groups. This proposed project will fill important gaps in the literature by providing the first set of causal data from a diverse, representative sample of transyouth addressing both the challenges this population faces and the strengths they possess to ultimately intervene to reduce HIV infection.</t>
  </si>
  <si>
    <t>4 year old;Acquired Immunodeficiency Syndrome;Address;Adolescence;Adolescent Development;Adolescent Medicine;Adult;Affect;Age;AIDS prevention;AIDS/HIV problem;Area;Behavioral;Cities;Communities;Contracts;Cross-Sectional Studies;Data;Death Rate;design;Development;Diagnosis;Discrimination;Early Intervention;Economics;Education;effective intervention;Employment;Epidemiologic Studies;Epidemiologist;evidence base;experience;Face;Female;Future;Gender Issues;Goals;Health;high risk;HIV;HIV Infections;HIV risk;Individual;innovation;Intervention;Intervention Studies;Investigation;Knowledge;Literature;Longitudinal Studies;Measures;meetings;men who have sex with men;Methodology;Methods;Modeling;novel;Outcome;Parents;Participant;Physicians;Population;Population Heterogeneity;Prevalence;prevent;Prevention Research;Preventive Intervention;Process;Public Health;Research;Research Design;resilience;Resources;Respondent;Risk;Risk Behaviors;Risk Factors;Sampling;San Francisco;Scientist;self esteem;sex;Sexually Transmitted Diseases;skills;social;social networking website;social stigma;Specialist;Target Populations;Technology;Testing;Time;transgender;transgender women;Translating;transphobia;Work;Youth;</t>
  </si>
  <si>
    <t>ffective interventions are needed to reduce behavioral risk for HIV among marginalized populations of MSM, including transgender female youth. Our goals are to determine the factors most contributing to HIV risk for transgender female youth and identify protective factors that can be utilized in interventions targeting this disproportionately affected community. These findings will ultimately be translated in into concepts appropriate for the design of effective interventions for HIV prevention within this population.</t>
  </si>
  <si>
    <t>10-JUN-2015</t>
  </si>
  <si>
    <t>RFA-MH-11-080</t>
  </si>
  <si>
    <t>095598</t>
  </si>
  <si>
    <t>18-JUL-2011</t>
  </si>
  <si>
    <t>31-MAY-2017</t>
  </si>
  <si>
    <t>Special Emphasis Panel (ZMH1-ERB-D (02))</t>
  </si>
  <si>
    <t xml:space="preserve">MEEK, ERIN  </t>
  </si>
  <si>
    <t xml:space="preserve">MCFARLAND, WILLIAM </t>
  </si>
  <si>
    <t>32</t>
  </si>
  <si>
    <t>082199324</t>
  </si>
  <si>
    <t>540201</t>
  </si>
  <si>
    <t>PUBLIC HEALTH FOUNDATION ENTERPRISES</t>
  </si>
  <si>
    <t>CITY OF INDUSTRY</t>
  </si>
  <si>
    <t>91746-3417</t>
  </si>
  <si>
    <t>9-JUN-2015</t>
  </si>
  <si>
    <t>Basic Behavioral and Social Science;Behavioral and Social Science;Clinical Research;Health Disparities;Health Services;Mental Health;Minority Health;Prevention;Sexual and Gender Minorities (SGM/LGBT*)</t>
  </si>
  <si>
    <t>PROJECT SUMMARYBeginning in 2012, the State of Oregon explicitly identified “Health Equity and Eliminating Health Disparities” asa key target of its Medicaid reform. Given the large share of transgender persons covered by the Medicaidprogram, changes in Medicaid policy provide a unique opportunity to address health and health disparities forthis gender minority group. Recent cross-sectional studies suggest public insurance significantly improvesaccess to transition-related care for transgender adults, while also increasing usage of preventive care andmedically necessary services, resulting in better health outcomes for this population. In January 2015, Oregonextended its Medicaid benefits to provide coverage for transition-related care for transgender persons in orderto address mental health disparities in this community. In doing so, Oregon became the second state whoseMedicaid policy explicitly covered healthcare related to gender transition for transgender persons. As of March2018, eighteen states and the District of Columbia now have similar Medicaid policies, but none have studiedthe impact of the new policy. Using extensive Oregon Medicaid claims data from 2010-2017, and applying avalidated algorithm developed by the Centers for Medicare &amp; Medicaid Services for identifying transgenderpersons in administrative claims, this proposal aims undertake an analysis of longitudinal data to assess theways in which health and health disparities in the transgender community can be improved by Medicaid reform,while also describing whether coverage for transition-related care meaningfully impacts use of these servicesby transgender beneficiaries.</t>
  </si>
  <si>
    <t>Accident and Emergency department;Acquired Immunodeficiency Syndrome;Address;Administrative Supplement;Adult;Affect;Algorithms;Ambulatory Care;Anxiety;Award;barrier to care;beneficiary;Caring;Chicago;cisgender;cohort;Communities;Cross-Sectional Studies;Data;Diagnosis;District of Columbia;Effectiveness;experience;gender dysphoria;Gender identity disorder;gender minority;gender transition;Generalized Anxiety Disorder;Health;health care availability;health care disparity;health care service utilization;health disparity;health equity;Health Services Accessibility;Healthcare;HIV;hospital services;Improve Access;improved;Inpatients;longitudinal analysis;Measures;Medicaid;Medical;medically necessary care;member;Mental Depression;Mental Health;Methodology;Minority Groups;Modeling;Mood Disorders;Oregon;Outcome;Outpatients;parent grant;Parents;Persons;physical conditioning;Policies;Population;Population Analysis;Prevalence;Preventive care;Primary Health Care;programs;Provider;Psychotherapy;public health insurance;Publishing;Quality of Care;Reporting;Research;Research Personnel;Resources;Role;Rural;Service setting;Services;Suicide;Time;transgender;Transsexualism;United States Centers for Medicare and Medicaid Services;Universities;</t>
  </si>
  <si>
    <t>PROJECT NARRATIVE This study evaluates the role of Medicaid in improving health and reducing health disparities for transgender persons. By evaluating whether implementation of Oregon Medicaid coverage for transition-related care for transgender persons increased both usage of transition-related services and access to primary and preventive care, this study will provide critical information on the effectiveness of this reform, which was meant to address health disparities in the transgender community. Furthermore, this study will analyze extensive longitudinal data to enumerate how many transgender beneficiaries may potentially benefit from this reform.</t>
  </si>
  <si>
    <t>21-AUG-2018</t>
  </si>
  <si>
    <t>PA-18-713</t>
  </si>
  <si>
    <t>011212</t>
  </si>
  <si>
    <t>S1</t>
  </si>
  <si>
    <t>ALVIDREZ, JENNIFER L</t>
  </si>
  <si>
    <t>9-AUG-2016</t>
  </si>
  <si>
    <t>30-APR-2020</t>
  </si>
  <si>
    <t>MCCONNELL, KENNETH JOHN</t>
  </si>
  <si>
    <t>EMERGENCY MEDICINE</t>
  </si>
  <si>
    <t>096997515</t>
  </si>
  <si>
    <t>6297007</t>
  </si>
  <si>
    <t>OREGON HEALTH &amp; SCIENCE UNIVERSITY</t>
  </si>
  <si>
    <t>PORTLAND</t>
  </si>
  <si>
    <t>OR</t>
  </si>
  <si>
    <t>97239-3098</t>
  </si>
  <si>
    <t>1-JUN-2018</t>
  </si>
  <si>
    <t>30-APR-2019</t>
  </si>
  <si>
    <t>Behavioral and Social Science;Brain Disorders;Clinical Research;Drug Abuse (NIDA only);Health Disparities;Mental Health;Pediatric;Pediatric Research Initiative;Sexual and Gender Minorities (SGM/LGBT*);Substance Abuse;Women's Health</t>
  </si>
  <si>
    <t>DESCRIPTION (provided by applicant): Substance Disorders, Substance Use Treatment, and Sexual Orientation in Youth Substance abuse and dependence are critical public health problems affecting the U.S. and they cause enormous financial and social burden, morbidity, and mortality. Sexual-minority populations (e.g., lesbian, gay, bisexual [LGB]) are disproportionately affected by substance use, substance use disorders, and co-occurring mental health problems. However, there are almost no empirical investigations among youth that would enable researchers and clinicians to: 1) understand patterns and causes of sexual-orientation disparities in risk for substance use disorders, and 2) elucidate sexual minorities' barriers to receiving needed substance use treatment and their treatment experiences. Consequently, huge knowledge gaps exist in understanding which subpopulations of sexual-minority youths are most at risk for substance use disorders, their barriers to receiving needed treatment, and effective treatment approaches. The recent Institute of Medicine (IOM) report, The Health of Lesbian, Gay, Bisexual, and Transgender People: Building a Foundation for Better Understanding, identifies large health disparities in the LGB population, extensive gaps in understanding LGB health, and methodological complexities in conducting LGB research. To address these problems, we will carry out a mixed methods study with the Growing Up Today Study, two ongoing longitudinal cohorts of 27,324 youth begun in 1996 and 2004. The proposed project will focus on a range of substance disorders including alcohol abuse and dependence, drug abuse and dependence, and nicotine dependence. In order to develop targeted, effective, evidence-based preventive and treatment interventions for sexual-minority youth, it is necessary first to: 1) understand the extent to which substance disorders disproportionately impact this population, 2) identify subpopulations at greatest risk, 3) understand causal mechanisms contributing to sexual-orientation-based disparities, 4) identify specific barriers sexual minoritis face receiving needed treatment, and 5) identify effective treatment strategies. Our study has high potential for public health impact, as we propose to contribute essential knowledge to all 5 of these critical areas, with a focus on the developmental periods of adolescence and emerging adulthood.</t>
  </si>
  <si>
    <t>Abstinence;Address;Adolescence;adolescent substance abuse;Adult;Affect;Aftercare;Age;Alcohol abuse;Alcohol dependence;Alcohol or Other Drugs use;Area;Attention;base;Client;cohort;common treatment;cost;Data;Development;Discrimination;Disease;disorder risk;Drug abuse;Drug Addiction;effective therapy;emerging adulthood;evidence base;experience;Face;Family psychotherapy;Female;Foundations;Gender;Health;health disparity;Health Services Accessibility;Heterosexuals;Improve Access;improved;Institute of Medicine (U.S.);Intervention;Investigation;Knowledge;Lesbian Gay Bisexual;Lesbian Gay Bisexual Transgender Intersex;Life;Longitudinal cohort;male;Mental Health;Methodology;Methods;Morbidity - disease rate;mortality;Nicotine Dependence;outcome forecast;Pattern;Perception;Population;Prevalence;Preventive treatment;Public Health;public health relevance;Publishing;Reporting;Research;Research Personnel;response;Risk;satisfaction;Services;Severities;Sex Orientation;sexual minority;social;social stigma;stressor;Substance abuse problem;Substance Addiction;Substance Use Disorder;Testing;Time;Training;transgender;Treatment outcome;treatment program;treatment strategy;United States National Institutes of Health;violence victimization;Vulnerable Populations;Youth;</t>
  </si>
  <si>
    <t>PUBLIC HEALTH RELEVANCE: Substance abuse and dependence are critical public health problems affecting the U.S. and sexual-minority populations (e.g., lesbian, gay, bisexual [LGB]) are disproportionately affected. However, there are almost no empirical investigations among youth that would enable researchers and clinicians to: 1) understand patterns and causes of sexual-orientation disparities in risk for substance use disorders, and 2) elucidate sexual minorities' barriers to receiving needed substance use treatment and their treatment experiences. Our study has high potential for public health impact because we will carry out a mixed methods study with two ongoing national longitudinal cohorts of 27,324 youth to contribute essential knowledge to: 1) understanding the extent to which substance disorders disproportionately impact sexual minority youth, 2) identifying subpopulations at greatest risk, 3) understanding causal mechanisms contributing to sexual-orientation-based disparities, 4) identifying specific barriers sexual minority youth face receiving needed treatment, and 5) identifying effective treatment strategies.</t>
  </si>
  <si>
    <t>14-FEB-2017</t>
  </si>
  <si>
    <t>033974</t>
  </si>
  <si>
    <t>WILEY, TISHA R A</t>
  </si>
  <si>
    <t>15-JUN-2013</t>
  </si>
  <si>
    <t>28-FEB-2019</t>
  </si>
  <si>
    <t>CORLISS, HEATHER L</t>
  </si>
  <si>
    <t>030811269</t>
  </si>
  <si>
    <t>1080401</t>
  </si>
  <si>
    <t>BRIGHAM AND WOMEN'S HOSPITAL</t>
  </si>
  <si>
    <t>02115-6110</t>
  </si>
  <si>
    <t>1-MAR-2017</t>
  </si>
  <si>
    <t xml:space="preserve">﻿   DESCRIPTION (provided by applicant):   Approximately 1 million Veterans identify as lesbian, gay, bisexual, or transgender (LGBT), and health equity - irrespective of gender or sexual orientation - is a specific objective in the firstgoal of the Veteran Health Administration (VHA) Strategic Plan 2013-2018. LGBT individuals have high prevalence of health risk factors, (e.g., substance use, violence, barriers to care), andthey experience disparities in several physical and mental conditions (e.g., mental illnesses, certain cancers, hepatitis C (HCV), HIV, and suicide). Recognizing the need to serve Veterans who are LGBT, VA promulgated Directive 2013-003, outlining healthcare provision for a subpopulation of LGBT individuals: transgender Veterans. Yet, VA knows little about the socio-demographics, health conditions, and healthcare utilization of this minority population. My prior work began addressing VA's gaps in LGBT health equity research by identifying a sub-population of transgender Veterans: those diagnosed with Gender Identity Disorder (GID). My long-term career goal is to become an independent VA health services investigator focused on improving the quality and equity of health and health care for LGBT Veterans. My immediate goals for the CDA-2 period are (1) to acquire the health services research skills to map the landscape of health disparities among transgender Veterans, (2) to create the evidence base from which to develop intervention and implementation research initiatives to address transgender health disparities, (3) to collaborate with operational partners to address LGBT health issues within VA, and (4) to develop a health equity research infrastructure with transgender Veterans that can expand to include research on LGB Veterans. The four key elements of my career plan to achieve my CDA-2 goals are (1) learn the formulation, administration, and dissemination of health services research; using electronic medical record data and complex longitudinal statistical analysis and data management; (2) improve quantitative skills with longitudinal data management, analysis, and collection; (3) acquire advanced skills in qualitative research methodology, including semi-structured interview protocols, coding, and analysis; and (4) gain knowledge in the development of intervention and implementation science initiatives for transgender Veterans' health care. For Aim 1, I will compare differences in patient-level (e.g., demographics, medical, psychiatric, and behavioral conditions), system-level (e.g., Medical Center teaching status), and community-level (e.g., rural status) determinants of health among transgender (n=6,308) Veterans and comparison group of non-transgender Veterans (n=18,924). In Aim 2, I will examine health services utilization, quality of care metrics, and mortality over time among transgender and non-transgender Veterans. For Aim 3, I will conduct semi-structured interviews with transgender Veterans and VA clinicians who provide transgender health services to explore transgender Veterans' and VA providers' experiences with VA health care, areas of improvement in care, and strategies to engage transgender Veterans in research. To guide recommendation for specific analyses, development of interventions, and policy implications based on study findings, I will develop a 6-member advisory board of methodology experts and VA operational partners with expertise in VHA LGBT issues. As a postdoctoral fellow with the Center for Health Equity Research and Promotion (CHERP-HSR&amp;D COIN), I am in an ideal environment for health services research mentorship and training, and I have strong relationships with operational partners in the VA Office of Patient Care Services and VA Office of Public Health. This CDA will produce the first- and second-generation disparities research to provide the foundation for next steps of future quality improvement projects and future HSR&amp;D Merit Review research to develop and test patient- level interventions (e.g., programs tailored to reduce suicide risk) or provider- or system-level interventions (e.g., clinical education and training) to improve the health and healthcare for transgender Veterans.         </t>
  </si>
  <si>
    <t>Address;Age;Alcohol consumption;Alcohol or Other Drugs use;Area;barrier to care;base;Behavioral;care systems;career;Caring;Child Sexual Abuse;cigarette smoking;cigarette smoking;Clinical;Code;cohort;Coin;Collaborations;Collection;Communities;comparison group;Complex;Computerized Medical Record;Consultations;Data;data management;demographics;Diagnosis;Discrimination;Educational process of instructing;Elements;Emergency department visit;Environment;evidence base;expectation;experience;Formulation;Foundations;Frequencies;Future;Gender;Gender identity disorder;gender transition;Generations;Goals;Health;health administration;health care quality;Health Care Research;health care service utilization;health difference;health disparity;health equity;Health Personnel;health service use;Health Services;Health Services Research;Healthcare;Hepatitis C;Hepatitis C virus;Hepatitis C virus;High Prevalence;HIV;Homelessness;ICD-9;Immunization;implementation research;implementation science;improved;indexing;Individual;Influenza vaccination;Inpatients;Institute of Medicine (U.S.);Intervention;Intervention Studies;Interview;Joints;K-Series Research Career Programs;Knowledge;Learning;Lesbian Gay Bisexual;Life;Malignant Neoplasms;Maps;Medical;Medical center;member;Mental disorders;Mental Health;Mentorship;Methodology;Minority;Mood Disorders;mortality;operation;Outcome;Outpatients;Participant;Patient Care;Patient Recruitments;Patients;physical conditioning;policy implication;Population;Postdoctoral Fellow;Prevalence;programs;Protocols documentation;Provider;Psyche structure;Public Health;Qualitative Research;Quality of Care;Recommendation;Recruitment Activity;reducing suicide;Research;Research Infrastructure;Research Methodology;Research Personnel;respiratory;Risk Factors;Rural;Sampling;Services;Sex Orientation;Site;skills;Smoking;social;Statistical Data Interpretation;Strategic Planning;stressor;Structure;suicidal risk;Suicide;System;Testing;therapy development;Time;Training;Training and Education;transgender;United States Agency for Healthcare Research and Quality;urban area;Veterans;Violence;Vulnerable Populations;Work;</t>
  </si>
  <si>
    <t>The Joint Commission, Institute of Medicine, and the Agency for Healthcare Research and Quality all note that lesbian, gay, bisexual, and transgender (LGBT) people are vulnerable to several health problems, such as HIV, mental illness, and suicide. The VA is committed to health equity for all Veterans, regardless of sexual orientation or gender. Recently the VA issued a national Directive about providing health care to transgender Veterans. This HSR&amp;D Career Development Award application provides me with the training necessary (1) to examine differences in health outcomes and health care utilization between transgender and non-transgender Veterans, and (2) to explore delivery and quality of care through interviews with transgender patients and providers who care for them. Detecting and understanding the unique differences in health conditions and health care needs of transgender Veterans are the first steps for future quality improvement projects and intervention research to improve the equity of health and health care of this vulnerable Veteran population.</t>
  </si>
  <si>
    <t>7-AUG-2018</t>
  </si>
  <si>
    <t>RFA-HX-15-029</t>
  </si>
  <si>
    <t>IK2</t>
  </si>
  <si>
    <t>001733</t>
  </si>
  <si>
    <t>A2</t>
  </si>
  <si>
    <t>1-MAR-2016</t>
  </si>
  <si>
    <t>28-FEB-2021</t>
  </si>
  <si>
    <t xml:space="preserve">HSR&amp;D Career Development Award  (CDA0) </t>
  </si>
  <si>
    <t>BLOSNICH, JOHN RUDOLPH</t>
  </si>
  <si>
    <t>033127569</t>
  </si>
  <si>
    <t>481080</t>
  </si>
  <si>
    <t>VETERANS HEALTH ADMINISTRATION</t>
  </si>
  <si>
    <t>15240-1003</t>
  </si>
  <si>
    <t>28-FEB-2017</t>
  </si>
  <si>
    <t>Others</t>
  </si>
  <si>
    <t>Behavioral and Social Science;Health Disparities;Mental Health;Prevention;Sexual and Gender Minorities (SGM/LGBT*)</t>
  </si>
  <si>
    <t>ABSTRACTBackground: The transgender (TG) community experience health disparities associated with individualfactors, such as gender identity and expression. To date, the majority of TG health-related studies have takena narrow view of health by focusing on mental health outcomes and cross-sex hormone therapy, andfrequently conceptualized health as the absence of engagement in health-harming behaviors. For example, TGadults have an increase in overall mortality, higher levels of psychological distress, substance abuse, and asuicide attempt rate that is nearly ten times higher than the general public. In those few instances wherephysical health is the focus, it is often examined in relation to gender transition or HIV/AIDS. For instance, TGwomen of color have a 49 times higher odds of HIV infection compared to cisgender (CG) adults worldwide,and United States TG adults have over four times the national average of HIV infection. Additionally, the use ofhormones is associated with an elevated risk for cardiovascular and venous thromboembolic disease,polycythemia, and an increase in insulin resistance and fasting glucose. Findings also indicate that TG adultshave unfavorable risk factors and worse health than their CG peers, but this has not been examined amongTG subpopulations.Methods: Data from the CDC's 2014 Behavioral Risk Factor Surveillance System, and a modified version ofthe social ecological model, designed to guide understanding of health and health promotion, will be used todetermine the relationships among individual factors and health status for TG subpopulations. The overall goalof this secondary analysis is to increase understanding of the relationships with individual factors (personalcharacteristics and socioeconomic position) and health status among TG adults to inform the development ofclinical interventions and changes in clinical practice and in policy. The specific aims of this study are:Aim 1: Describe and compare the personal characteristics (age, race/ethnicity, geographic classification, and sexual orientation), socioeconomic position (education, employment status, and income), and health status of three TG subpopulations (male-to-female, female-to-male, and gender nonconforming individuals) and a CG comparison group.Aim 2: Determine the relationship between individual factors (personal characteristics and socioeconomic position) and health status in three TG subpopulations and a CG comparison group.Aim 3: Evaluate differences in health status in three TG subpopulations and a CG comparison group while taking into account the influence of individual factors.Significance: Findings will inform the design of future studies by determining the importance of defining andexamining TG subpopulations, identify and prioritize health-related needs, and provide the foundation todevelop clinical interventions aimed at reducing the burden of illness in TG people.</t>
  </si>
  <si>
    <t>Acquired Immunodeficiency Syndrome;Address;Adult;Affect;Age;AIDS/HIV problem;Alcohol abuse;Applications Grants;Behavior;Behavioral Risk Factor Surveillance System;Big Data;Birth;burden of illness;Cardiovascular Diseases;cardiovascular risk factor;Centers for Disease Control and Prevention (U.S.);Characteristics;Chronic Disease;cisgender;Classification;Clinical;clinical development;clinical practice;Color;Communities;comparison group;Country;Data;design;Disease;Drug abuse;Education;Employment Status;Ethnic Origin;expectation;experience;fasting glucose;Female;Foundations;Future;Gender;Gender Identity;gender minority;gender nonconforming;gender transition;General Population;Geography;Goals;Gonadal Steroid Hormones;Health;health difference;health disparity;Health Policy;Health Promotion;Health Status;Heterogeneity;HIV;HIV Infections;Homelessness;hormone therapy;Hormone use;Impairment;improved;Income;Individual;Insulin Resistance;Intervention;Knowledge;knowledge base;Link;male;Medical;Mental Health;Meta-Analysis;Methods;Minority;model design;Modeling;mortality;National Institute of Nursing Research;Operative Surgical Procedures;Outcome;peer;Persons;physical conditioning;Policies;Polycythemia;Population;post-doctoral training;prevent;Prevention;Prostitution;psychological distress;Public Health Administration;Quality of life;Race;Research;Research Personnel;Research Priority;Risk;Risk Factors;secondary analysis;Self Management;sex;Sex Orientation;Shapes;social;Socioeconomic Status;socioeconomics;Substance abuse problem;Suicide;Suicide attempt;suicide rate;therapy development;Time;transgender;transgender men;transgender women;Underserved Population;United States;United States National Institutes of Health;Venous;Veterans;Work;</t>
  </si>
  <si>
    <t>PROJECT NARRATIVE  Contemporary, empirically-based knowledge of transgender health is scant and lacks understanding of physical health and chronic disease status, independent functioning and impairment status, and the impact of individual factors known to affect health in other populations. Subsequently, as this population continues to grow, they will have key health promotion, illness prevention, and chronic illness self-management challenges. In order to identify and prioritize health needs, and provide the foundation to develop clinical interventions and changes in clinical practice and in policy aimed at promoting health and wellness, preventing illness, and reducing the burden of illness in transgender adults, there is a need to develop a deeper understanding of their health status.</t>
  </si>
  <si>
    <t>NINR</t>
  </si>
  <si>
    <t>23-MAR-2017</t>
  </si>
  <si>
    <t>PA-16-308</t>
  </si>
  <si>
    <t>NR</t>
  </si>
  <si>
    <t>017115</t>
  </si>
  <si>
    <t>BANKS, DAVID</t>
  </si>
  <si>
    <t>1-MAY-2017</t>
  </si>
  <si>
    <t>16-APR-2018</t>
  </si>
  <si>
    <t>Special Emphasis Panel (NRRC (67))</t>
  </si>
  <si>
    <t>CICERO, ETHAN COLLIN</t>
  </si>
  <si>
    <t>044387793</t>
  </si>
  <si>
    <t>2221101</t>
  </si>
  <si>
    <t>DUKE UNIVERSITY</t>
  </si>
  <si>
    <t>DURHAM</t>
  </si>
  <si>
    <t>NC</t>
  </si>
  <si>
    <t>27705-4673</t>
  </si>
  <si>
    <t>361</t>
  </si>
  <si>
    <t>Behavioral and Social Science;Brain Disorders;Clinical Research;Mental Health;Rural Health;Substance Abuse</t>
  </si>
  <si>
    <t xml:space="preserve">  DESCRIPTION (provided by applicant): A decade of studies confirm that lesbian, gay, bisexual, and transgender (LGBT) people suffer  disproportionately from mental health and substance use problems in comparison to their heterosexual counterparts. The higher prevalence of disorders within this population is most reasonably explained by  minority stress, referring here to stigma, prejudice, discrimination, and violence toward socially disadvantaged  groups. Our previous formative research in the rural and multi-ethnic state of New Mexico suggests that  professional providers frequently fail to recognize how the experience of minority stress affects rural LGBT  people and are often ill-prepared to provide quality services to this population. Rural LGBT people, particularly  those who are isolated from supportive social networks, have few LGBT-specific resources to draw from when  in need of assistance for mental health and substance use problems. We propose the use of well-trained peer  advocates as a creative response to this situation. The advocates will perform several vital functions in rural  areas: reduction of social contextual factors associated with minority stress that can adversely affect wellbeing  and service utilization among LGBT people; outreach to professional providers and others; and cultivation of  LGBT social support. The day-to-day work of the advocates will be informed by an  empowerment protocol   that specifies the general range of community-based activities they will engage in to provide assistance to rural  LGBT help seekers. To obtain the knowledge and skills needed to effectively implement this protocol, peer  advocates will take part in didactic and interactive training exercises that are to be evaluated and refined in the  course of this research.  This study has three aims: (1) Develop the empowerment protocol, coaching manual, and peer advocate  support system; (2) Design and implement a training curriculum to prepare individuals to serve as peer  advocates; (3) Conduct a pilot test of the empowerment protocol that will yield preliminary qualitative and  quantitative data on feasibility, acceptability, and impacts on treatment access and utilization and social  support for LGBT help seekers. In pursuit of all three aims, we will evaluate procedures to recruit and retain  peer advocates and LGBT help seekers both members of a widely dispersed, rural population in  intervention research. Data generated from this multi-method study will also be used to improve utility of the  protocol and refine the training curriculum. Most importantly, these essential data will comprise the groundwork  for a broader scale effectiveness trial of a promising intervention for an underserved and understudied  population. To our knowledge, there are no similar interventions tailored for rural sexual and gender minorities,  even though such individuals face significant mental health disparities.    </t>
  </si>
  <si>
    <t>Acute;Address;Advocacy;Advocate;Affect;Alcohol dependence;Alcohol or Other Drugs use;Anxiety;Area;base;Behavior;Bisexual;Case Manager;Clinical;Commit;Communities;Community Health;contextual factors;Data;design;Disadvantaged;Discrimination;Disease;Educational Curriculum;effectiveness trial;empowered;empowerment;Environment;Exercise;experience;Face;Feeling;Future;Gays;Gender;Health;health disparity;Heterosexuals;High Prevalence;improved;Individual;Institute of Medicine (U.S.);Institution;interest;Intervention;Intervention Studies;Knowledge;Lesbian;Life;Manuals;member;Mental Depression;Mental disorders;Mental Health;Mental Health Services;Methods;Minority;Modeling;National Institute of Mental Health;New Mexico;novel;outreach;peer;Persons;Population;Population Heterogeneity;Prejudice;Procedures;Professional counselor;Protocols documentation;Provider;Psyche structure;Psychiatrist;Psychologist;Recruitment Activity;Research;Research Design;Resources;response;Rural;rural area;Rural Community;Rural Population;Science;service utilization;Services;skills;social;Social Alienation;Social Network;social stigma;Social support;Social Workers;Specific qualifier value;Staging;Strategic Planning;Stress;stressor;Structure;Substance Use Disorder;Suicide;Support System;Testing;theories;Training;transgender;United States National Institutes of Health;Violence;Work;</t>
  </si>
  <si>
    <t>Lesbian, gay, bisexual, and transgender (LGBT) persons living in rural areas of the U.S. face tremendous  challenges in accessing appropriate treatment and social support for mental illness and substance use  disorders. Building upon our formative research, we will design, implement, and evaluate a data- and theory driven intervention that will address these challenges within the predominantly rural state of New Mexico. This  will be accomplished by developing an educational curriculum to educate peer advocates in LGBT mental  health and substance use issues, who will then help empower LGBT people in rural communities to proactively  address social contextual factors that affect their use of LGBT-affirmative treatment and social support.</t>
  </si>
  <si>
    <t>12-JUN-2013</t>
  </si>
  <si>
    <t>PAR-09-173</t>
  </si>
  <si>
    <t>R34</t>
  </si>
  <si>
    <t>095238</t>
  </si>
  <si>
    <t>20-JUL-2011</t>
  </si>
  <si>
    <t>30-MAR-2015</t>
  </si>
  <si>
    <t xml:space="preserve">Mental Health Services in Non-Specialty Settings (SRNS) </t>
  </si>
  <si>
    <t>WILLGING, CATHLEEN E.</t>
  </si>
  <si>
    <t>021883350</t>
  </si>
  <si>
    <t>1871901</t>
  </si>
  <si>
    <t>PACIFIC INSTITUTE FOR RES AND EVALUATION</t>
  </si>
  <si>
    <t>BELTSVILLE</t>
  </si>
  <si>
    <t>20705-3111</t>
  </si>
  <si>
    <t>1-JUL-2013</t>
  </si>
  <si>
    <t>Project AbstractIt has been projected that during 2018, 1.7 million new cases of cancer will be diagnosed in the US and itsterritories; 37% associated to breast and uterine cervix (B/UC) cancer among cisgender females (persons that arenot transgender). Cancer is the leading cause of death among Latinos. In Puerto Rico (PR) and Florida (FL),cancer is a leading cause of morbidity and mortality accounting for 17.7% and 21.6% of all deaths respectively.The highest incidence rates included B/UC cancer (34%). These data echo those of the American Cancer Society(ACS), which has indicated that B/UC cancer incidence in Latinos is among the highest when compared to otherethnic groups in the US. This is unfortunate as there is strong evidence that an individual's risk for developingB/UC cancer can be substantially reduced by engaging in healthy behaviors, including cancer screening.Transgender women (TW) and transgender men (TM) have been under-studied with regard to reproductivecancer risk and there is scarce information on how the disease affects their lives. WHO highlights that there is ameasurably higher risk of breast and uterine cervix cancer faced by TM who retain their genitalia of birth. For TW,the development of breast tissue due to hormonal treatment may increase breast cancer risk. The scientificliterature calls for understanding these risk factors in order to develop innovative approaches to support TW andTM with culturally sensitive, tailored interventions using accessible technology to assist them in overcomingbarriers to cancer prevention and screening. The proposed project draws upon Transgender Theory, focusing onthe important role that subjective experience the gendered body may have in B/UC cancer screening. Ouradaptation of this theory posits that the embodied experiences of TW and TM may have a role in cancer riskbecause individuals may avoid or neglect body parts that are associated with their at-birth gender, which may beexperienced as shameful or disliked. The proposed study aims to document barriers to B/UC cancer screeningamong TW and TM in PR and FL. The specific aims are to: (1) Explore the role of transgender embodiment (i.e.,internalized stigma related to body image; attitudes toward at-birth genitalia; gendered meanings of cancerscreening) on the engagement in B/UC cancer screening among TW and TM, (2) Document the role of individual-level factors (i.e., lack of knowledge; attitudes towards cancer; self-efficacy for cancer screening) andsocial/structural-level factors (e.g., stigma; institutional and cultural barriers) on the engagement in B/UC cancerscreening among TW and TM; and (3) Identify potential intervention content, format and delivery strategies (i.e.,mobile technology) for the future development of an intervention to promote B/UC cancer screening among TWand TM. We will implement a sequential mixed methods design using qualitative interviews (20TW and 20TM),quantitative questionnaires (100 TW and 100 TM) and focus groups (10 TW and 10 TM). The gathered data willcontribute to the understanding of multilevel barriers for B/UC cancer screening among TW and TM and the futuredevelopment of an intervention to address them.</t>
  </si>
  <si>
    <t>Accounting;Address;Affect;AIDS prevention;American Cancer Society;anticancer research;Area;Attitude;Awareness;Behavior;Birth;Body Image;Body part;Breast;Breast Cancer Detection;Breast Cancer Risk Factor;cancer prevention;cancer risk;Cause of Death;Cellular Phone;Centers for Disease Control and Prevention (U.S.);Cessation of life;cisgender;Collaborations;Communities;Data;Decision Making;design;Detection;Development;Diagnosis;Disease;dosage;Drug usage;Ethnic group;Ethnic Origin;experience;Face;Female;Fibrinogen;Florida;Focus Groups;Funding;Future;Gender;Gender Identity;Genitalia;Goals;health disparity;Healthcare;high risk;Hormonal;Hormone use;Hormones;Incidence;Individual;informant;innovation;Intervention;Interview;Knowledge;Latino;Lead;Lesbian Gay Bisexual Transgender;Literature;Malignant neoplasm of cervix uteri;Malignant Neoplasms;Mammary Gland Parenchyma;Measurable;Medical;Methods;mobile computing;Morbidity - disease rate;mortality;National Institute of Drug Abuse;neglect;Outcome;Persons;Physicians;Population;Preventive medical care;Puerto Rico;Questionnaires;Race;reproductive;Research;Risk;Risk Factors;Role;screening;Screening for cancer;Self Efficacy;Sex Orientation;Site;social;social stigma;Stigmatization;Structure;Surveys;Technology;theories;therapy development;transgender;transgender men;transgender women;United States National Institutes of Health;uptake;Work;World Health Organization;</t>
  </si>
  <si>
    <t>Project Narrative This study will produce knowledge addressing how transgender embodiment among Latino TW and TM influences their vulnerability to breast and uterine cervix cancer (B/UC) screening and decision-making about B/UC cancer screening. This is the only study of which we are aware to contribute to this area focusing on this population in Puerto Rico and Florida, which may lead to the development of innovative approaches to support TW and TM with culturally sensitive, tailored interventions using accessible technology (e.g. smartphones) to assist them in overcoming barriers to cancer prevention and screening.</t>
  </si>
  <si>
    <t>NCI</t>
  </si>
  <si>
    <t>26-JUN-2019</t>
  </si>
  <si>
    <t>PA-18-728</t>
  </si>
  <si>
    <t>233449</t>
  </si>
  <si>
    <t>CHOLLETTE, VERONICA</t>
  </si>
  <si>
    <t xml:space="preserve">RAMOS-PIBERNUS, ALIXIDA G </t>
  </si>
  <si>
    <t>RODRIGUEZ, SHEILLA LEE</t>
  </si>
  <si>
    <t>98</t>
  </si>
  <si>
    <t>105742043</t>
  </si>
  <si>
    <t>1565401</t>
  </si>
  <si>
    <t>PONCE SCHOOL OF MEDICINE</t>
  </si>
  <si>
    <t>PONCE</t>
  </si>
  <si>
    <t>PR</t>
  </si>
  <si>
    <t>00732-7004</t>
  </si>
  <si>
    <t>393</t>
  </si>
  <si>
    <t>Basic Behavioral and Social Science;Behavioral and Social Science;Brain Disorders;Clinical Research;Conditions affecting unborn children;Drug Abuse (NIDA only);Mental Health;Pediatric;Substance Abuse</t>
  </si>
  <si>
    <t>Adolescence is a critical period in the maturation of a subcortical-prefrental neural system central to stressregulation and the regulation of hedonically-driven behaviors such as drug use and abuse. Emergingpreclinical data support the observation that prenatal and early life stressors constitute an importantvulnerability factor associated with dysregulated stress response mechanisms in adolescence and youngadulthood. That is, a key mechanism for the initiation of drug use and abuse in adolescence may be adysregulated balance between reward and stress response systems. Further, there is evidence of asignificant association between early trauma history before age 18, recent adverse life events, laboratory-induced acute stress/drug cue reactivity and drug use relapse in addicted women, as compared to men. Thesefindings suggest that the proposed dysfunctional stress-regulation system as one mechanism for initiation ofdrug use and then abuse in adolescence may be differentially more active in girls compared to boys. We propose to study adolescent response to stressors and gender differences in that response in a well-characterized cohort of adolescent males and females beginning at age 14 who have been studied sincebirth and who were exposed or non-exposed to cocaine and other drugs prenatally. Both exposed and non-exposed adolescents have grown up in psychosocial adversity with one group also exposed to the earlystressors of a drug-using environment. This cohort provides a unique opportunity to examine the relationbetween early experience and functioning assessed prospective^ and stress response and drug use inadolescence. Two hundred adolescent girls and boys will participate in laboratory based stress-induction sessions withdetailed assessments of their behavioral and physiological response. Adolescents will then be followed withbiyearly assessments of drug use and other risk taking behaviors. Specifically we aim to examine sex differences in adolescents as well as the impact of early life stressors,especially prenatal exposure to drugs of abuse, in measures of emotion state, HPA activation, physiologicalarousal and urinary catecholamine response to both a social stress and to stress, appetitive and neutralimagery; to examine the interaction between early life stressors and current adverse life events on adolescentresponse to social stress and stress imagery and to examine the relation between stress response as measuredphysiologically and behaviorally and initiation of drug use in a one to four year follow-up period. Understanding possible mechanisms for the initiation of drug use and early abuse, and how thesemechanisms work differentially in females and males will inform the development of more effective andtargeted interventions in adolescents at risk.</t>
  </si>
  <si>
    <t>acute stress;addiction;Adolescence;Adolescent;adolescent drug use;Age;Arousal;base;Behavior;Behavioral;Biological;biological adaptation to stress;Birth;boys;Catecholamines;Cocaine;cocaine exposure;cohort;critical period;cue reactivity;Data;Development;driving behavior;Drug abuse;Drug Exposure;drug of abuse;Drug usage;early experience;early onset drug use;Early-life trauma;Elderly;Emotions;Environment;Equilibrium;Event;Exposure to;Family Violence;Female;Female Adolescents;fetal drug exposure;follow-up;Gender;girls;Imagery;Intervention;Laboratories;Life;Life Stress;male;Male Adolescents;Measures;men;negative mood;Pharmaceutical Preparations;Physiological;postnatal;pre-clinical;prenatal;prenatal exposure;programs;prospective;psychosocial;Recording of previous events;Regulation;Relapse;relating to nervous system;Research Personnel;response;Rewards;Risk;Risk-Taking;Secondary to;sex;Sex Characteristics;social stress;Stress;stressor;System;urinary;Woman;Women's Health;Work;young adult;Youth;</t>
  </si>
  <si>
    <t>P50</t>
  </si>
  <si>
    <t>016556</t>
  </si>
  <si>
    <t>10</t>
  </si>
  <si>
    <t>30-JUN-2013</t>
  </si>
  <si>
    <t>Special Emphasis Panel (ZRG1)</t>
  </si>
  <si>
    <t xml:space="preserve">SINHA, RAJITA </t>
  </si>
  <si>
    <t>Domestic Higher Education</t>
  </si>
  <si>
    <t>1-JUL-2011</t>
  </si>
  <si>
    <t>Research Centers</t>
  </si>
  <si>
    <t>Behavioral and Social Science;Clinical Research;Mental Health;Pediatric;Prevention;Violence Research;Youth Violence;Youth Violence Prevention</t>
  </si>
  <si>
    <t>The online world is transforming the experiences and relationships of youth in both positive and negative ways. Identifying youth who may be more vulnerable to Internet victimization as well as protective factors that may reduce this risk is an important publichealth concern. Using an innovative online data collection strategy, we propose to scientifically examine the potential risk and protective factors that Internet use poses to adolescent health. 2700 young people 13-18 years of age will be surveyed. Findingshave applied implications for adolescent health research by identifying positive experiences both online and offline that have protective influences on stressful contextual factors for youth, as well as behaviors that should be targeted for prevention. Ourmultidisciplinary team of professionals brings together expertise in adolescent Internet health and disease prevention. Findings will directly inform future Internet-based prevention programs aimed at promoting healthy youth development.</t>
  </si>
  <si>
    <t>18 year old;Accounting;Address;Adolescent;Age;AIDS prevention;base;Behavior;behavior change;Behavioral Sciences;Bisexual;Consult;contextual factors;Data Collection;Data Set;depressive symptoms;design;Development;disorder prevention;Education;Ensure;experience;Face;Female;Focus Groups;Funding;Future;Gays;Grant;Health;Heterosexuals;Individual;innovation;Internet;Lesbian;Literature;male;Methods;multidisciplinary;peer;Play;Positioning Attribute;positive youth development;Prejudice;Prevention;Prevention program;Preventive Intervention;Procedures;programs;protective behavior;Public Health;Recruitment Activity;Reporting;Research;Research Personnel;research to practice;Risk;Risk-Taking;Rural;Safety;Sampling;Social isolation;Social support;Solutions;statistics;Surveys;Techniques;transgender;Translating;trend;United States National Institutes of Health;Victimization;Youth;</t>
  </si>
  <si>
    <t>Project Narrative  This project has the possibility to directly inform the development of prevention programs aimed at promoting protective behaviors online that may benefit healthy youth development online and offline as well as reducing potential health risks youth face from  online victimization.</t>
  </si>
  <si>
    <t>13-JAN-2011</t>
  </si>
  <si>
    <t>PA-07-070</t>
  </si>
  <si>
    <t>057191</t>
  </si>
  <si>
    <t>MAHOLMES, VALERIE</t>
  </si>
  <si>
    <t>5-FEB-2009</t>
  </si>
  <si>
    <t>31-JAN-2013</t>
  </si>
  <si>
    <t xml:space="preserve">Community Influences on Health Behavior Study Section (CIHB) </t>
  </si>
  <si>
    <t>YBARRA, MICHELE L.</t>
  </si>
  <si>
    <t>49</t>
  </si>
  <si>
    <t>137263013</t>
  </si>
  <si>
    <t>10003002</t>
  </si>
  <si>
    <t>CENTER FOR INNOVATIVE PUBLIC HEALTH RESEARCH</t>
  </si>
  <si>
    <t>SAN CLEMENTE</t>
  </si>
  <si>
    <t>92672-6740</t>
  </si>
  <si>
    <t>1-FEB-2011</t>
  </si>
  <si>
    <t>Project Summary/Abstract Young people at highest risk for HIV in the U.S. will be gay, bisexual transgender youth (GBTY) andhomeless youth (HY) in communities with high HIV incidence and overwhelmingly Black and Latino. Focusingon Los Angeles and New Orleans, seronegative youth at highest risk for HIV will be screened in homelessshelters and gay-identified community-based organizations (CBO). A cohort of 1500 seronegative youth will berecruited that is 82% male (79% GBTY), 66% Black, 16% Latino, and 18% white, non-Hispanic. About 27% willbe 12-17 and 73% between 18-24 years old. All youth will be followed longitudinally over 24 months at fourmonth intervals and tested for HIV, STI, serious substance abuse, health care utilization, and comorbidconditions – a Prototypical Retention/Prevention (R/P) Strategy. Over 24 months, acutely HIV infected youthwill be triaged to Study 1. This Prototypical R/P Strategy operationalizes the CDC's recommendations for theengagement of GBTY in repeat HIV testing, linkage to care, and options for combination prevention (PrEP,PEP – with behavioral interventions). Building on this team's extensive experience with behavioral and mobile/social media interventions, arandomized controlled trial (RCT) will be conducted with four intervention conditions: 1) an AutomatedMessaging and Monitoring Intervention (AMMI), which will use texts to diffuse prevention messages daily andto monitor risk behaviors weekly (n=900); 2) a Peer Support intervention on a social media platform (i.e.,Facebook) in which young people will post messages and stories about their experiences preventing HIV, plusthe AMMI (n=200); 3) an eNavigator intervention in which a B.A.-level staff supports youth, primarily throughtexting and social media, but also in-person meetings, to provide support in crisis situations, refer to treatment,and assist in gaining access to health care and other services, plus Peer Support and AMMI (n=200); and, 4) acombined intervention of eNavigator, Peer Support, and AMMI (n=200). A single outcome will be composed ofsix key behaviors (access to medical care, accessing and adherence to PrEP or PEP, treatment of all STI, and100% condom use). In addition to evaluating the added benefit of increasing levels of intervention, the brief 7-item weekly text-messaging monitoring surveys will provide approximately 100,000 weekly reports of indicatorsof primary and secondary outcomes that can inform our understandings about the relationships between riskand comorbid states. This study will have policy implications for the allocation of resources to HIV testingresources in local communities, the uptake and scalability of text and social media interventions, and themodels for diffusing evidence-based interventions (EBI) globally (without requiring replication with fidelity to amanual).</t>
  </si>
  <si>
    <t>Acute;Adherence;Adolescent;AIDS prevention;Alcohol or Other Drugs use;Appointment;arm;base;Behavior;Behavior Therapy;Behavioral;Bisexual;Car Phone;Caring;Centers for Disease Control and Prevention (U.S.);cohort;Communication;Communities;Comorbidity;comparative efficacy;condoms;cost;cost effectiveness;Counseling;Data;Data Set;design;Diffuse;Eligibility Determination;evidence based guidelines;Evidence based intervention;experience;Facebook;follow-up;Gays;Goals;health care availability;health care service utilization;Health Personnel;Health Services Accessibility;high risk;HIV;HIV Infections;HIV risk;HIV/STD;Homeless Youth;Homelessness;Human immunodeficiency virus test;Incentives;Incidence;innovative technologies;Instruction;Intervention;intervention effect;Interviewer;Latino;Los Angeles;male;Manuals;Media Intervention;Mediating;Medical;meetings;men who have sex with men;Mental Health;Methods;Modeling;Monitor;Motivation;Not Hispanic or Latino;novel;Outcome;peer;peer support;Periodicity;Persons;policy implication;pre-exposure prophylaxis;prevent;Prevention;Prevention strategy;primary outcome;Privatization;Prophylactic treatment;Randomized;Randomized Controlled Trials;Recommendation;recruit;Reporting;Resource Allocation;Resources;Risk;Risk Behaviors;Sampling;secondary outcome;Services;Shelter facility;social media;Social Network;standard of care;Substance abuse problem;Supervision;Support Groups;Surveys;Symptoms;Technology;Testing;Text;Text Messaging;Time;Time trend;Training;transgender;Triage;uptake;volunteer;Youth;</t>
  </si>
  <si>
    <t>25-JUN-2019</t>
  </si>
  <si>
    <t>RFA-HD-16-035</t>
  </si>
  <si>
    <t>U19</t>
  </si>
  <si>
    <t>089886</t>
  </si>
  <si>
    <t>Special Emphasis Panel (ZHD1-DSR-N)</t>
  </si>
  <si>
    <t>SWENDEMAN, DALLAS TRAVIS</t>
  </si>
  <si>
    <t>Project Summary The Juvenile Justice System (JJS) has not implemented any evidenced-based interventionsthat address suicidal behavior or nonsuicidal self-injury, hereafter referred collectively to as self-injury, with JJS-involved youth. This application proposes to test a scalable intervention, safetyplanning, that aims to reduce self-injury in adolescents involved in the JJS. Safety planning,which can be a stand-alone brief intervention, was cited as a best practice by the SuicidePrevention Resource Center/American Foundation for Suicide Prevention Best PracticesRegistry for Suicide Prevention. This study will have two phases. In Phase I, we will conduct anopen trial with 10 adolescents which will allow us to make any modifications necessary for usingthe protocol in a Probation Department. We will then randomize 60 youth on Probation whoscreen positive for recent self-injury into standard care or the safety planning intervention.Counselors with community mental health experience embedded in Probation will conduct theintervention, consistent with the co-responder model found across JJS in the U.S. in which aProbation Officer works collaboratively with a mental health professional to coordinate care. Inorder to further conduct the study under conditions most relevant to a future implementationtrial, we will also employ a training approach that we have successfully implemented in apsychiatric hospital with Bachelors and Masters level staff. In Phase II, of the study, we will: a)conduct qualitative interviews in Probation about attitudes toward the intervention as well asbarriers to a future, larger implementation trial; and b) contract with the National Center forMental Health and Juvenile Justice to conduct a Sequential Intercept Model (SIM) Mapping. TheSIM is a conceptual framework to outline a series of “points of interception” along the JJScontinuum in a state where screening and brief intervention may be implemented. In theMapping, we will examine the JJS continuum from arrest; to an initial hearing; to jail awaitingtrial or adjudication; incarceration; to release or reentry; and finally, to community supervision.We believe this data will provide a working framework to help assess current views within thestatewide JJS as a starting point to proposing a future, larger trial. This research also has thepotential to directly inform treatment practices in JJ settings and has significant implications forscalability and dissemination in order to build a stronger, more effective system of mentalhealth/JJS collaboration around self-injury screening and intervention.</t>
  </si>
  <si>
    <t>Accident and Emergency department;Address;adjudication;Administrator;Adolescent;American;Appointment;Attitude;base;Behavior;brief intervention;care coordination;Caregivers;Client;Collaborations;Communities;Community Practice;Consumer Satisfaction;Contracts;cost;court;Data;data modeling;design;Effectiveness of Interventions;effectiveness trial;evidence base;Evidence based intervention;experience;Family;Feeling suicidal;follow-up;Foundations;Future;Goals;Grant;Health Professional;Healthcare;Healthy People 2020;Hearing;high risk;Home environment;implementation trial;Imprisonment;improved;innovation;Intercept;interest;Intervention;Interview;Jail;Justice;juvenile justice system;Mental Health;mental health center;Modeling;Modification;Motivation;National Institute of Mental Health;non-suicidal self injury;Outcome;Outpatients;Parents;Participant;Partnership Practice;Penetration;Phase;phase 2 study;practice setting;probation;Process;Professional counselor;programs;Protocols documentation;Provider;Psychiatric Hospitals;Randomized;recidivism;reducing suicide;Registries;Research;Resources;response;Risk;Safety;safety testing;Sampling;screening;screening and brief intervention;Self-Injurious Behavior;Series;Service delivery model;Services;skills;standard care;standard of care;Strategic Planning;suicidal behavior;suicidal risk;Suicide;Suicide attempt;Suicide prevention;Supervision;System;Teenagers;Testing;Time;Training;Underserved Population;uptake;Withdrawal;Work;Youth;</t>
  </si>
  <si>
    <t>Project Narrative This study will examine the feasibility and acceptability of a program designed to conduct safety planning with youth in the juvenile justice system who are at risk for a suicide attempt and/or self-injury and to increase the possibility of them receiving outpatient mental health treatment. After training staff in the intervention, we will pilot test the safety planning intervention and gather information on how well it worked on reducing self-harm, getting families to follow up with referrals for mental health care, and how often they attend treatment.</t>
  </si>
  <si>
    <t>PAR-16-298</t>
  </si>
  <si>
    <t>114307</t>
  </si>
  <si>
    <t>REIDER, EVE</t>
  </si>
  <si>
    <t>15-JUL-2018</t>
  </si>
  <si>
    <t>31-MAY-2021</t>
  </si>
  <si>
    <t xml:space="preserve">SPIRITO, ANTHONY NMN </t>
  </si>
  <si>
    <t xml:space="preserve">KEMP, KATHLEEN </t>
  </si>
  <si>
    <t>001785542</t>
  </si>
  <si>
    <t>1003201</t>
  </si>
  <si>
    <t>BROWN UNIVERSITY</t>
  </si>
  <si>
    <t>PROVIDENCE</t>
  </si>
  <si>
    <t>RI</t>
  </si>
  <si>
    <t>02912-9002</t>
  </si>
  <si>
    <t>Behavioral and Social Science;Cancer;Clinical Research;Clinical Trials and Supportive Activities;Mental Health;Physical Activity;Prevention;Rehabilitation;Sexual and Gender Minorities (SGM/LGBT*)</t>
  </si>
  <si>
    <t>﻿   DESCRIPTION (provided by applicant): Prevalence of cancer is up to 2.1 times higher among lesbian, gay, bisexual, and transgender (LGBT) persons than heterosexuals, yet LGBT cancer survivors are virtually invisible in cancer research in the United States. This invisibility, as wel as real and expected discrimination, leads LGBT cancer patients and survivors to experience 1.7 times higher rates of psychological distress than heterosexual survivors. Given these rates of distress, the unique sociocultural factors acting on LGBT survivors, and the fact that distress is linked with increased cancer-related morbidity and mortality, tailored interventions to reduce distress among LGBT cancer survivors are needed. Our preliminary research shows that care partners of LGBT survivors want to be included in interventions to support survivors and that social support is strongly linked to psychological distress among LGBT adults. Our novel dyadic framework incorporates support from care partners and a standardized exercise intervention, Exercise for Cancer Patients (EXCAP(c)(r), a 6 week, home-based progressive walking and resistance training program), and may be effective in reducing distress among LGBT survivors. In this K07 Career Development Award application, Dr. Charles Kamen, a clinical psychologist with a background in health disparities and dyadic intervention research, proposes to conduct a Phase II RCT randomizing 70 LGBT cancer survivors (all cancer types, 1-24 months post treatment) plus their 70 care partners (broadly defined) to: Arm 1, a novel, partner-assisted version of EXCAP(c)(r) (called EXCAP-PA), in which both survivors and care partners will receive EXCAP(c)(r) materials and instruction together, or Arm 2, a survivor-only version of EXCAP(c)(r), i which only the LGBT cancer survivor will receive EXCAP(c)(r) materials. The overall hypothesis of this study is that among LGBT survivors, EXCAP-PA, incorporating care partner support, will be more efficacious than survivor-only EXCAP(c)(r) in improving biopsychosocial aspects of distress. Dr. Kamen is well positioned as a junior faculty member in an exceptional environment at the University of Rochester. He needs additional training in three core competency areas in order to launch an independent research career: 1) clinical trials for LGBT health, 2) integration of biological endpoints, and 3) design of exercise interventions. His mentors have over 30 years of experience conducting cancer control intervention trials and include: Dr. Karen Mustian, PEAK Lab Director and exercise oncology expert; Dr. Gary Morrow, Director of Cancer Control research; Dr. Kathi Heffner, psychoneuroimmunologist; Dr. Deborah Bowen, community intervention expert; and advisors Dr. Supriya Mohile, medical oncologist; Dr. James McMahon, dyadic intervention expert; and Dr. Charles Heckler, biostatistician. The career development goals and protected time provided by this training award will prepare Dr. Kamen to become an expert in cancer-related health disparities and dyadic interventions for LGBT cancer survivors and care partners. Further, if successful, this study will address a critical disparity (distress) n the underserved population of LGBT survivors.</t>
  </si>
  <si>
    <t>actigraphy;Address;Adherence;Adult;Aftercare;anticancer research;Anxiety;Area;arm;Award;base;Behavior;Biological;biopsychosocial;C-reactive protein;cancer care;Cancer Control;Cancer Control Research;cancer diagnosis;Cancer Patient;Cancer Survivor;cancer therapy;cancer type;career;career development;Caring;Clinic;Clinical;Clinical Trials;community intervention;Competence;design;Discrimination;Distress;Environment;Exercise;exercise intervention;experience;Faculty;Feasibility Studies;Funding;Future;Gays;Goals;Health;health disparity;Heterosexuals;Home environment;Hydrocortisone;improved;Inflammation;innovation;Instruction;Intervention;Intervention Studies;Intervention Trial;K-Series Research Career Programs;Lesbian;Lesbian Gay Bisexual;Link;Malignant Neoplasms;Medical Oncologist;member;Mentors;Methods;Minority;Moods;Morbidity - disease rate;mortality;novel;oncology;Patient Self-Report;Personal Satisfaction;Persons;Phase;phase II trial;Population;Positioning Attribute;post intervention;Prevalence;Psyche structure;psychologic;psychological distress;Psychologist;public health relevance;Questionnaires;Randomized;Reporting;Research;response;Risk;Serum amyloid A protein;Social support;Standardization;strength training;Stress;Survivors;Testing;Time;Training;Training Programs;transgender;Underserved Population;United States;Universities;virtual;Walking;Work;</t>
  </si>
  <si>
    <t>PUBLIC HEALTH RELEVANCE: Lesbian, gay, bisexual, and transgender (LGBT) cancer survivors experience more psychological distress than heterosexual survivors. Very few studies have examined this population and no treatments have been delivered to them specifically. This project will provide information about using exercise, along with support from care partners, to treat distress among LGBT cancer survivors, and will assess LGBT survivors' and their care partners' well-being after cancer diagnosis and treatment.</t>
  </si>
  <si>
    <t>PAR-12-067</t>
  </si>
  <si>
    <t>K07</t>
  </si>
  <si>
    <t>190529</t>
  </si>
  <si>
    <t>PERKINS, SUSAN N</t>
  </si>
  <si>
    <t>17-JUL-2015</t>
  </si>
  <si>
    <t xml:space="preserve">Subcommittee J - Career Development (NCI-J) </t>
  </si>
  <si>
    <t>KAMEN, CHARLES STEWART</t>
  </si>
  <si>
    <t>25</t>
  </si>
  <si>
    <t>SURGERY</t>
  </si>
  <si>
    <t>041294109</t>
  </si>
  <si>
    <t>7047101</t>
  </si>
  <si>
    <t>UNIVERSITY OF ROCHESTER</t>
  </si>
  <si>
    <t>ROCHESTER</t>
  </si>
  <si>
    <t>SCHOOLS OF DENTISTRY</t>
  </si>
  <si>
    <t>14627-0140</t>
  </si>
  <si>
    <t>398</t>
  </si>
  <si>
    <t>Behavioral and Social Science;Clinical Research;Clinical Trials and Supportive Activities;Drug Abuse (NIDA only);HIV/AIDS;Infectious Diseases;Mental Health;Prevention;Sexual and Gender Minorities (SGM/LGBT*);Substance Abuse</t>
  </si>
  <si>
    <t>DESCRIPTION (provided by applicant): The purpose of this study is to develop and pilot test a culturally relevant, theory-driven adaptation of the evidence-based intervention Project START to improve post-incarceration health care engagement among transgender ('trans') women. The adapted intervention (Trans START) will focus on improving linkage to and engagement in four health care domains (HIV, substance use, mental health, and transgender-related medical care), responsive to each participant's self-identified needs. Incarceration is a significant publi health issue that disproportionately impacts trans women, and the cycle of incarceration interacts with high levels of substance use, mental illness, and HIV to produce an elevated burden of disease among trans women. Trans women who have been arrested are more likely to report mental illness, using substances, engaging in risky sex, and needing trans-sensitive services upon release. Gender differences in health, post-release service needs, and predictors of engagement in healthcare call for gender-specific strategies. This adaptation of Project START will incorporate an innovative, transgender-specific theoretical model, the Model of Gender Affirmation. Unmet need for gender affirmation predicts HIV risk among HIV- trans women and treatment failure among those who are living with HIV, and access to gender affirmation is related to better mental health. Furthermore, access to gender affirmation supports linkage, engagement, and retention in care among trans women who are living with HIV. Using the ADAPT-ITT strategy to guide the adaptation process, we will conduct qualitative interviews with 15-20 trans women who are incarcerated in the San Francisco County Jail (SFCJ), prior to and after release. We will also conduct qualitative interviews with 5-10 key stakeholders who work with this population in SFCJ and in the community. Once the adapted materials are finalized, we will conduct a pilot randomized controlled trial to test the feasibility and acceptability of the adapted intervention, as well as the protocols and procedures, to inform a future full-scale randomized controlled trial for efficacy of the adapted intervention. To accomplish this aim, we will randomize 50 trans women who have been incarcerated for a minimum of one week to either Trans START (adapted Project START curriculum plus treatment as usual) or treatment as usual alone (TAU). We expect that following intervention exposure, relative to control group, Trans START participants will report higher rates of HIV testing (among HIV- women at baseline) and higher HIV medical appointment attendance (for HIV-positive trans women). Moreover, intervention participants will report: a) higher levels of linkage to and engagement in substance abuse treatment, mental health care, and transgender-related medical care (among participants who identify these as needs). With the data from the feasibility and acceptability pilot, we will leverage funding to conduct a larger efficacy study ofthe adapted curriculum with the goal of producing a replicable, culturally relevant, evidence-based health promotion intervention for incarcerated trans women who are preparing for release into the community.</t>
  </si>
  <si>
    <t>Address;Adherence;Affect;AIDS prevention;Alcohol or Other Drugs use;behavior test;Birth;burden of illness;Caring;Communities;Control Groups;County;Criminal Justice;Data;Data Collection;Educational Curriculum;Epidemic;evidence base;Evidence based intervention;experience;Funding;Future;Gender;gender difference;Goals;Health;health difference;health disparity;Health Promotion;Health Status;Healthcare;HIV;HIV risk;HIV Seropositivity;Human immunodeficiency virus test;Imprisonment;improved;Individual;innovation;Intervention;Interview;Jail;Length;Life;Literature;male;Manuals;Measures;Medical;medical appointment;Mental disorders;Mental Health;Modeling;Outcome;Participant;Patient Self-Report;Pharmaceutical Preparations;Population;prevention service;Preventive Intervention;Procedures;Process;Protocols documentation;Public Health;Randomized;Randomized Controlled Trials;recidivism;Recruitment Activity;Reporting;Resources;retention rate;Risk Behaviors;San Francisco;Screening procedure;Services;sex;sex risk;social;social exclusion;Substance abuse problem;substance abuse treatment;System;Testing;Theoretical model;theories;therapy development;Training;transgender;transgender women;transsexual;treatment as usual;Treatment Failure;Woman;Work;young man;</t>
  </si>
  <si>
    <t>PUBLIC HEALTH RELEVANCE: Incarceration is a significant public health issue that disproportionately impacts transgender women, and the cycle of incarceration interacts with high levels of substance use, mental illness, and HIV to produce an elevated burden of disease among this population. The purpose of this study is to develop and pilot test the first culturally relevant, theory-driven adaptation of the evidence-based intervention Project START to improve post-incarceration health care engagement among transgender women.</t>
  </si>
  <si>
    <t>5-AUG-2016</t>
  </si>
  <si>
    <t>PA-12-231</t>
  </si>
  <si>
    <t>038541</t>
  </si>
  <si>
    <t>JONES, DIONNE</t>
  </si>
  <si>
    <t>15-SEP-2014</t>
  </si>
  <si>
    <t>SEVELIUS, JEANNE M.</t>
  </si>
  <si>
    <t>INTERNAL MEDICINE/MEDICINE</t>
  </si>
  <si>
    <t>PROJECT SUMMARY/ABSTRACT The purpose of this Mentored Patient-Oriented Research Career Development Award is to prepareStephanie K. Doupnik, MD, MSHP for a career as an independent investigator focused on identifying healthsystems organizational strategies and practices for promoting engagement in mental health treatment amongyoung people, with a particular focus on reducing youth suicide attempts and suicides. Dr. Doupnik’simmediate goal is to obtain the training, mentorship, and research experience necessary to successfully obtainextramural funding to support multicenter clinical effectiveness and dissemination studies in this area. To meetthis goal, Dr. Doupnik and her mentors have developed a comprehensive career development and researchplan. The plan’s 3 components include: (a) intensive mentorship from a team of mentors and advisors withwhom Dr. Doupnik has a track record of prior collaboration, (b) advanced training in large dataset analysis forhealth policy evaluation, qualitative and mixed methods research, and operations research methods to informhospital process improvement, and (c) an innovative research plan designed to identify how health systemscan effectively use available resources to ensure young patients’ safety and continuity of mental healthcareafter medical hospitalization for suicide attempt. Although youth suicide attempts result in approximately60,000 hospitalizations annually, most inpatient medical hospital units do not currently implement practices toensure patients’ safety and continuity of mental healthcare after hospital discharge. The proposed researchstudies will develop a toolkit to guide implementation of effective suicide prevention practices for youth oninpatient medical hospital units. Aim 1 uses large dataset analyses to determine which hospital, outpatient, andcommunity structures are associated with higher rates of youth attendance at mental health follow-up aftersuicide attempt hospitalization and to identify hospitals with higher performance on mental health follow-up.Aim 2 uses literature review and qualitative inquiry in hospitals with different resource configurations andvarying performance to develop a suicide prevention toolkit to disseminate effective suicide preventionpractices. Aim 3 pilot tests the youth suicide prevention toolkit in preparation for a future multi-center clusterrandomized controlled trial. The proposed research is closely aligned with the National Institute of MentalHealth Strategic Priority 4.3 to develop “service delivery models to improve dramatically the outcomes ofmental health services received in diverse communities and populations.”</t>
  </si>
  <si>
    <t>Acute;Adolescent;adolescent patient;Aftercare;Area;career;career development;Caring;Cause of Death;Characteristics;Clinical;Clinical effectiveness;Cluster randomized trial;Collaborations;Communities;Data;Data Set;design;Effectiveness;Ensure;Evaluation;evidence base;Evidence based intervention;experience;Extramural Activities;follow-up;Funding;Future;Geography;Goals;health care service utilization;Health Policy;Health Service Area;Health system;Healthcare;high risk population;High School Student;hospital services;Hospital Units;Hospitalization;hospitalization rates;Hospitalized Adolescent;Hospitalized Child;Hospitals;Human Resources;implementation strategy;improved;Individual;Infrastructure;Injury;innovation;Inpatients;Intervention;Interview;Joints;Medicaid;Medical;medical specialties;Mental Health;Mental Health Services;Mentally Ill Persons;Mentored Patient-Oriented Research Career Development Award;Mentors;Mentorship;Methodology;Monitor;Multicenter Trials;National Institute of Mental Health;Operations Research;Outcome;Outpatients;patient safety;Patients;Pediatric Hospitals;Performance;Philadelphia;Population;Preparation;Preventive Intervention;Process;prospective;Psyche structure;Randomized Controlled Trials;Reporting;Research;research and development;research clinical testing;Research Methodology;Research Personnel;research study;Resources;Review Literature;Risk;Safety;Sampling;Self-Injurious Behavior;Service delivery model;Structure;suicidal risk;Suicide;Suicide attempt;Suicide prevention;suicide rate;Surveys;systematic review;Testing;tool;Training;uptake;Variant;Visit;Youth;</t>
  </si>
  <si>
    <t>PROJECT NARRATIVE  Suicide is the third leading cause of death among US youth, and nearly 60,000 youth are hospitalized in inpatient medical units for medical treatment or safety observation after a suicide attempt each year. The majority of these youth receive no specialty mental health treatment during the hospitalization, and rates of outpatient mental health follow up after suicide attempt are low. Thus, the proposed research is designed to identify best practices for promoting youth connection to ongoing mental health care and safety planning after medical hospital discharge, and to develop a toolkit to facilitate dissemination of these practices to medical hospitals with different configurations of resources.</t>
  </si>
  <si>
    <t>13-JUL-2019</t>
  </si>
  <si>
    <t>PA-16-198</t>
  </si>
  <si>
    <t>K23</t>
  </si>
  <si>
    <t>115162</t>
  </si>
  <si>
    <t>HILL, LAUREN D</t>
  </si>
  <si>
    <t>30-JUN-2022</t>
  </si>
  <si>
    <t>Special Emphasis Panel (ZMH1-ERB-I (01))</t>
  </si>
  <si>
    <t xml:space="preserve">DOUPNIK, STEPHANIE </t>
  </si>
  <si>
    <t>073757627</t>
  </si>
  <si>
    <t>1499101</t>
  </si>
  <si>
    <t>CHILDREN'S HOSP OF PHILADELPHIA</t>
  </si>
  <si>
    <t>PHILADELPHIA</t>
  </si>
  <si>
    <t>19146-2305</t>
  </si>
  <si>
    <t>Adolescent Sexual Activity;Anxiety Disorders;Behavioral and Social Science;Brain Disorders;Clinical Research;Clinical Trials and Supportive Activities;Comparative Effectiveness Research;Depression;Major Depressive Disorder;Mental Health;Mental Illness;Mind and Body;Pediatric;Prevention;Serious Mental Illness;Sexual and Gender Minorities (SGM/LGBT*);Violence Research</t>
  </si>
  <si>
    <t>The PI¿s career goal is to become an independent investigator developing and evaluating novelinterventions for underserved, vulnerable youth with anxiety and depressive disorders. This proposal outlines aplan to achieve this goal, through culmination of the training and research plans into an extremely competitiveR01 proposal. The training plan takes full advantage of the candidate¿s strong institutional support andenvironment at Northwestern University¿s Feinberg School of Medicine, as well as relations with the broadercommunity of researchers working with youth in high risk social environments. Training will includemultidisciplinary mentorship, coursework, conferences, seminars, systematic professional interactions,readings, collaboration with a youth advisory board, and a mentored publication plan.Training goals necessary to the PI¿s career goal involve growth in: 1) intervention development andevaluation; 2) adolescent psychology; 3) cultural issues pertinent to vulnerable youth; and 4) general careerdevelopment. This plan builds on the PI¿s background in clinical psychology, which has focused on technology-based treatments for depression and anxiety, contextual models of mental health disparities, implications of co-occurring psychiatric disorders on treatment outcomes, and cognitive behavioral therapy (CBT). In this K08,the PI will extend her work to include youth, increasing the impact of her research through earlier intervention.The long-term goal of the research is to open a new avenue to culturally competent care by: 1) applyingtreatment principles efficacious in general populations to unique concerns of underserved youth facing multiplerisks to their physical and mental health; 2) developing a mobile treatment that provides real-time, context-specific intervention; and 3) extending population-level care, via Internet and mobile phone technologies, toyouth unable to access existing services. To this end, the research plan will: 1) identify context-specific riskfactors for anxiety and depressive symptoms in vulnerable youth; 2) identify treatment targets accordingly; and3) develop an engaging, accessible intervention tailored to vulnerable adolescents with Major DepressiveDisorder (MDD) and Generalized Anxiety Disorder (GAD). The intervention, delivered via an advanced mobilephone application, the Internet, and brief telephone support, will be grounded in validated CBT techniques andmore recent advances in transdiagnostic CBT.Research aims will be achieved via: 1) Study 1, analysis of an existing longitudinal, epidemiologicaldataset to identify context-specific social stressors that predict increased anxiety and depressive symptoms,and cognitive mechanisms by which the social stressors impact anxiety and depression; 2) Study 2,development, usability testing, and a subsequent feasibility trial of a new, transdiagnostic Internet and mobilephone intervention teaching CBT skills to vulnerable adolescents with MDD and GAD, and applying these skillsto targets identified from Study 1; and 3) Study 3, a pilot randomized controlled trial (RCT) comparing theintervention to an attention control. Studies 2 and 3 will provide preliminary data for an R01 proposing a largerRCT.</t>
  </si>
  <si>
    <t>Accounting;Adherence;Adolescent;Alcohol or Other Drugs use;Anxiety;Anxiety Disorders;anxiety symptoms;anxiety treatment;Applied Skills;Attention;Award;base;Behavior;Behavioral;Bisexual;Car Phone;career;career development;Caring;Clinical Psychology;Cognitive;Cognitive Therapy;Collaborations;Communities;Competence;coping;cost effective;Data;Data Set;Depression and Suicide;Depressive disorder;depressive symptoms;design;Development;Disclosure;Discrimination;Distress;Early Intervention;Educational process of instructing;Environment;Epidemic;Epidemiologic Studies;Epidemiology;Evaluation;evidence base;Family;Feedback;follow-up;Funding;Gays;General Population;Generalized Anxiety Disorder;Goals;Growth;Health;health disparity;Heterosexuals;high risk;HIV risk;HIV Seropositivity;individualized medicine;Institute of Medicine (U.S.);Internet;Intervention;intimate partner violence;Longitudinal Studies;Major Depressive Disorder;Mediating;medical schools;men;men who have sex with men;Mental Depression;Mental disorders;Mental Health;Mentors;Mentorship;Methods;Modeling;Mothers;multidisciplinary;novel;Outcomes Research;Participant;physical abuse;physical conditioning;Population;Prevalence;Procedures;programs;psychologic;Psychology;Publications;Publishing;Randomized Controlled Trials;Reaction;Reading;Recurrence;reduce symptoms;Reporting;Research;Research Infrastructure;Research Personnel;Research Training;Risk;Risk Factors;Risk-Taking;Role;Same-sex;Sampling;Schools;Self-Injurious Behavior;Services;Sex Orientation;sexual minority;sexual risk taking;skills;social;Social Environment;Social support;stressor;Suicide attempt;symposium;Symptoms;Techniques;Technology;Telephone;Testing;therapy design;therapy development;Time;Training;Translating;Treatment Efficacy;Treatment outcome;trial comparing;Universities;usability;Verbally abusive behavior;Victimization;vulnerable adolescent;web site;Work;young men who have sex with men;Youth;</t>
  </si>
  <si>
    <t>The proposed research will identity group-specific intervention targets to reduce anxiety and depression symptoms in vulnerable youth, through analysis of an existing longitudinal study in a sample of youth in high risk social environments. Findings will be translated to develop and conduct early testing of an intervention designed to decrease symptoms in vulnerable youth with Major Depressive Disorder and Generalized Anxiety Disorder, using Internet and mobile phone formats that are widely accessible, cost-effective, scalable, private, and familiar to youth.</t>
  </si>
  <si>
    <t>25-MAR-2016</t>
  </si>
  <si>
    <t>PA-11-193</t>
  </si>
  <si>
    <t>K08</t>
  </si>
  <si>
    <t>094441</t>
  </si>
  <si>
    <t>1-APR-2012</t>
  </si>
  <si>
    <t xml:space="preserve">Interventions Committee for Disorders Involving Children and Their Families (ITVC) </t>
  </si>
  <si>
    <t>BURNS, MICHELLE NICOLE</t>
  </si>
  <si>
    <t>Basic Behavioral and Social Science;Behavioral and Social Science;Brain Disorders;Clinical Research;Depression;Mental Health;Mind and Body;Neurosciences</t>
  </si>
  <si>
    <t>This subproject is one of many research subprojects utilizing theresources provided by a Center grant funded by NIH/NCRR. The subproject andinvestigator (PI) may have received primary funding from another NIH source,and thus could be represented in other CRISP entries. The institution listed isfor the Center, which is not necessarily the institution for the investigator.Some studies have suggested that there are large gender differences in how women and men process and respond to emotional information. More recently there has been a great deal of research concerning the sexual dimorphism of an area of the brain called the amygdala. The amygdala is involved in the recall of emotional and arousing memory. These studies have concluded that emotional memory is processed in different hemispheres of the amygdala by men and women. In women amygdala activation occurs in the left hemisphere when encoding emotion memory and in the right hemisphere of the amygdala with in men. In addition, several studies have suggested that there may be a neurobiological underpinning to transgender identity that suggests that transgender individuals have biological organization more similar to their gender identity than to their biological sex. Prior research conducted on brain lateralization in transsexuals has reported that transsexuals have cerebral brain lateralization in congruence with their gender identity rather than biological sex.Understanding why there are gender differences in how the brain processes and remembers emotional information is important because there are a number of psychiatric disorders that have large gender differences and also involve the impaired processing of emotional information. Two examples of disorders that involve emotional dysregulation and affect one sex more than the other are depression and post traumatic stress disorder (PTSD). Depression occurs in 20 percent of women compared to 10 percent of men. The exact reason for this sex difference is unknown, however it is suggested that it is due to sex related differences in brain structures and functioning, as well as cognitive functions and styles. It has also been suggested that elevated physiological activity in the amygdala appears to be implicated in emotional behavior. Other research has found that depression is linked to enhanced activity of the left amygdala predominantly found in women. It has been reported that the trans community have higher than the average rates of depression and that their risk of suicide is also higher. This higher incidence of depression is largely influenced by societal norms and beliefs which are in part influenced by the notion that there is no biological cause underlying transgender identity. Therefore, the link between the amygdala processing of emotional information and gender is of utmost importance for the trans community due their higher than average risk of depression.  It is important to further investigate the neurobiology of the amygdala and its relationship to depression, as well as understanding its functioning in everyone, including transgender individuals. Learning more about the neurobiology of gender differences in emotional memory and related brain activation will be important for the future development of treatments for these clinical disorders. This proposal will describe a study to examine emotional memory and related brain activation in transgender subjects both on and off hormones in order to learn more about the relationship between biological sex, hormones and the sexually dimorphic pattern of brain activation observed for remembering emotional information. This is a brain imaging study examining the patterns of brain activation during emotional memory tests in transgender individuals. Two groups of transgender individuals will be studied, 12 male to female transgender and 12 female to male transgender. Within each group 6 participants will be taking hormone treatment and 6 will not. Each participant will participate in one study day in which we will use fMRI to assess their amygdale activation during emotional memory encoding. The knowledge gained from this study will provide important information about the neurobiological underlying of gender differences in emotional memory, as well as in transgender individuals, while furthering knowledge about gender influenced psychiatric disorders.</t>
  </si>
  <si>
    <t>Affect;Amygdaloid structure;Area;Behavior;Belief;Biological;Brain;Brain imaging;Cerebrum;Clinical Treatment;cognitive function;Communities;Computer Retrieval of Information on Scientific Projects Database;Disease;Emotional;Emotions;Female;Functional Magnetic Resonance Imaging;Funding;Future;Gender;Gender Identity;Gonadal Steroid Hormones;Grant;Hormones;Incidence;Individual;Institution;Knowledge;Learning;Left;Link;male;Memory;memory encoding;men;Mental Depression;Mental disorders;Neurobiology;Participant;Pattern;Physiological;Post-Traumatic Stress Disorders;Process;Reporting;Research;Research Personnel;Resources;Risk;sex;Sex Characteristics;sexual dimorphism;Source;Structure;suicidal risk;Testing;therapy development;transgender;United States National Institutes of Health;Woman;</t>
  </si>
  <si>
    <t>NCRR</t>
  </si>
  <si>
    <t>15-FEB-2010</t>
  </si>
  <si>
    <t>M01</t>
  </si>
  <si>
    <t>RR</t>
  </si>
  <si>
    <t>000109</t>
  </si>
  <si>
    <t>46</t>
  </si>
  <si>
    <t>1-MAR-2010</t>
  </si>
  <si>
    <t>28-FEB-2011</t>
  </si>
  <si>
    <t xml:space="preserve">Clinical Research Review Committee (RIRG-G) </t>
  </si>
  <si>
    <t>DUMAS, JULIE A</t>
  </si>
  <si>
    <t>At-Large</t>
  </si>
  <si>
    <t>066811191</t>
  </si>
  <si>
    <t>8738101</t>
  </si>
  <si>
    <t>UNIVERSITY OF VERMONT &amp; ST AGRIC COLLEGE</t>
  </si>
  <si>
    <t>BURLINGTON</t>
  </si>
  <si>
    <t>VT</t>
  </si>
  <si>
    <t>05405-1704</t>
  </si>
  <si>
    <t>389</t>
  </si>
  <si>
    <t>Basic Behavioral and Social Science;Behavioral and Social Science;Clinical Research;Health Services;Sexual and Gender Minorities (SGM/LGBT*)</t>
  </si>
  <si>
    <t>Project summary/abstractThe 2017 LGBTQ Health Conference will bring together leading researchers and practitioners, trainees andstudents to bridge research and practice with the aim of addressing health disparities for LGBTQ populations.This proposal requests funding for a 3-day conference in Chicago, the 5th annual LGBTQ Health Conference,organized by a long-term successful academic-community partnership between the Northwestern IMPACTLGBT Health and Development Program (now the Northwestern Institute for Sexual and Gender MinorityHealth and Wellbeing) and Center on Halsted, the most comprehensive LGBTQ community center in theMidwest. The conference aims to improve both research and practice on LGBTQ health by convening leadingpractitioners and researchers to present and discuss cutting-edge translational findings in the field; to train thenext generation of practitioners and researchers in LGBTQ health; and to disseminate the findings to a broadgroup of audiences that includes the general public, policymakers, LGBTQ communities nationwide in additionto academics, clinicians and service providers. A major goal of the conference is to increase participation bytraditionally underrepresented groups in science, including women and transgender people, racial/ethnicminorities and people with disabilities, not only as audience members but as organizers, presenters, keynotespeakers and moderators. In the past, our LGBTQ Health Conferences have stimulated new research andcollaborations, trained clinicians and service providers, and created opportunities for trainees, students, andjunior investigators to learn and connect with leaders in the field. We plan to build on our pastaccomplishments to expand the 2017 Conference from one to three days, thus increasing the number oflectures, panel sessions, networking opportunities, poster presentations and by expanding our successfulProfessional Development Institute.The overall goal of this Conference is to catalyze research to reduce and eventually eliminate health disparitiesamong LGBTQ people. These disparities are severe and affect LGBTQ people's life expectancy, mental andphysical health, access to and quality of care, and overall quality of life. Critical disparities are found in risk andincidence of mental health issues including suicide, substance abuse, HIV and other STIs and are linked tominority status, stigma, discrimination, and denial of human and civil rights. As is the case among otherminorities experiencing disparities, these disparities are not born equally among all LGBTQ people:transgender people, LGBTQ people of color and low-income people bear a disproportionate burden of thesedisparities. The proposed 2017 LGBTQ Health Conference will be a unique opportunity to gather the bestknowledge and practice in the field through an intersectional lens to improve the lives of all LGBTQ people.</t>
  </si>
  <si>
    <t>abstracting;Address;Affect;Applied Research;Area;Attention;Award;base;cardiovascular risk factor;career;Chicago;Civil Rights;Collaborations;Color;Communities;community center;Community Health;community partnership;Country;Development;Disabled Persons;Discrimination;Disease;education research;ethnic minority population;evidence base;experience;Fostering;Foundations;Funding;General Population;Goals;Grant;Health;health care quality;Health Care Research;health disparity;Health Professional;Health Services Accessibility;Healthcare;Healthy People 2020;HIV;Human Rights;Illinois;improved;Incidence;Individual;innovation;Institute of Medicine (U.S.);Institutes;Interdisciplinary Study;interest;Knowledge;Learning;lectures;Legal;lens;Lesbian Gay Bisexual;LGBT Health;Life Expectancy;Link;Low income;Medical;meetings;member;Mental Health;Midwestern United States;Minority;minority health;next generation;NIH Program Announcements;Outcome;Participant;physical conditioning;Policies;Policy Maker;Population;population based;Positioning Attribute;posters;Prevalence;prevention service;Program Development;programs;Provider;Public Health;Quality of Care;Quality of life;queer;racial and ethnic;Reporting;Request for Proposals;Research;research in practice;Research Personnel;Research Training;Risk;same-sex marriage;Scholarship;Science;Scientist;Services;Sexual and Gender Minorities;Social Discrimination;social media;social stigma;Students;Substance abuse problem;Suicide;symposium;Training;training opportunity;transgender;transgender women;Translational Research;Underrepresented Groups;Universities;Ursidae Family;web site;Work;</t>
  </si>
  <si>
    <t>We propose to organize and hold the 5th annual LGBTQ Health Conference: Bridging Research and Practice in Chicago, Illinois, in 2017. LGBTQ people have been identified as a population experiencing health disparities, based on dramatic inequities in disease prevalence, access to care, and availability of prevention services. These disparities are due to their minority status, societal stigma, discrimination, and denial of their civil and human rights. Specifically, mental health problems, substance abuse and suicide have been associated with discrimination against LGBTQ individuals. The LGBTQ Health Conference is an interdisciplinary research conference whose goal is to bridge science and practice in order to eliminate LGBTQ health disparities. This grant would fund this annual meeting.</t>
  </si>
  <si>
    <t>27-SEP-2016</t>
  </si>
  <si>
    <t>PA-13-347</t>
  </si>
  <si>
    <t>R13</t>
  </si>
  <si>
    <t>011360</t>
  </si>
  <si>
    <t>26-SEP-2017</t>
  </si>
  <si>
    <t>Special Emphasis Panel (ZMD1-DRI (O1))</t>
  </si>
  <si>
    <t xml:space="preserve">MUSTANSKI, BRIAN </t>
  </si>
  <si>
    <t>Basic Behavioral and Social Science;Behavioral and Social Science;Clinical Research;Health Disparities;Health Services;Minority Health;Pediatric;Prevention;Sexual and Gender Minorities (SGM/LGBT*);Violence Research;Youth Violence</t>
  </si>
  <si>
    <t>ABSTRACTGender variant individuals – that is, those whose experience of their gender doesn't match their biological sex– are experiencing an unprecedented moment in the spotlight of American culture. However, this group ispoorly understood, particularly its youth. In 2011, the Institute of Medicine published a report summarizingcurrent knowledge about lesbian, gay, bisexual and transgender (LGBT) populations. Although a small body ofresearch, conducted almost entirely with non-probability samples, demonstrates that transgender peopleexperience elevated levels of victimization, suicide involvement, substance use and high risk sexual behaviorscompared to cisgender people (i.e., matching biological sex and gender identity), the IOM specifically notesthat research on this population is sorely lacking. The proposed research includes extensive analysis of alarge, population-based sample of gender variant youth (N~1,200), takes a broad view of health influences andhealth care, and pairs this information with qualitative data from adolescent health care providers and youth.The goal of this mixed-methods study is to understand the health needs of gender variant youth in order todevelop and test training modules to be used in medical and nursing education in a future R01 application. Thestudy has two specific aims: 1) Analyze data from the Minnesota Student Survey (MSS), a statewidesurveillance system of adolescents' health and related behaviors, which has recently been revised to includethree measures regarding gender (biological sex, transgender identity, gender presentation). Analyses willfocus on high risk health behaviors (i.e. substance use, sex behaviors, suicide involvement, bullying andprejudiced-based victimization), protective factors (i.e. internal assets, family support, school connection),health and health care utilization of gender variant youth, with comparisons to straight cisgender youth andyouth who are cisgender and lesbian, gay, bisexual and questioning (LGBQ, with whom transgender youth areoften grouped for services and resources). 2) Conduct interviews with health care providers working withadolescents and with gender variant youth to understand health care practices and needs of thispopulation. Interviews with health care providers will include questions about their professional trainingregarding gender variant youth, need for resources, and comfort and competence with this topic. Interviewswith gender variant youth will include questions regarding their experiences with health care professionals,information they would share with providers about their health needs, and feedback on findings from healthcare provider interviews.</t>
  </si>
  <si>
    <t>Adolescent;adolescent health;Alcohol or Other Drugs use;American;Area;base;Behavior;Biological;Book Chapters;bullying;checkup examination;Child;cisgender;Clinical;Competence;cost;Data;Data Set;Dental;Educational Materials;elementary school;experience;family support;Feedback;Fibrinogen;Foundations;Future;Gender;Gender Identity;gender variant;Goals;Health;Health behavior;health care service utilization;health difference;Health Personnel;Health Professional;Healthcare;high risk;high risk behavior;high risk sexual behavior;improved;Individual;Institute of Medicine (U.S.);Interview;Knowledge;Learning Module;Lesbian Gay Bisexual;Lesbian Gay Bisexual Transgender;Literature;Measures;Medical;Medical Education;Methods;Minnesota;Nature;Nursing Education;Office Nursing;Patients;Population;population based;Population Sizes;Prejudice;Provider;public health relevance;Publishing;racial and ethnic;Recruitment Activity;Reporting;Research;Resources;Risk Behaviors;Sampling;Schools;Series;Services;sex;Sex Behavior;Students;Suicide;Surveys;System;Testing;Training;Training Activity;Training Programs;transgender;Victimization;Vulnerable Populations;Work;Youth;</t>
  </si>
  <si>
    <t>PUBLIC HEALTH RELEVANCE Findings will provide rich information about the health needs of gender variant youth and the training or material needs of health care providers. This information will be used to create youth-focused educational modules and materials to be used in training programs for health professional students and health care providers in clinical and school settings, with the ultimate goal of improving the well-being of this vulnerable population of young people.</t>
  </si>
  <si>
    <t>29-AUG-2017</t>
  </si>
  <si>
    <t>088757</t>
  </si>
  <si>
    <t>1-AUG-2016</t>
  </si>
  <si>
    <t>31-JAN-2019</t>
  </si>
  <si>
    <t>EISENBERG, MARLA E.</t>
  </si>
  <si>
    <t>555917996</t>
  </si>
  <si>
    <t>1450402</t>
  </si>
  <si>
    <t>UNIVERSITY OF MINNESOTA</t>
  </si>
  <si>
    <t>MINNEAPOLIS</t>
  </si>
  <si>
    <t>MN</t>
  </si>
  <si>
    <t>55455-2070</t>
  </si>
  <si>
    <t>1-AUG-2017</t>
  </si>
  <si>
    <t>Behavioral and Social Science;Clinical Research;Clinical Trials;HIV/AIDS;Infectious Diseases;Patient Safety;Prevention;Sexually Transmitted Diseases/Herpes</t>
  </si>
  <si>
    <t xml:space="preserve">  DESCRIPTION (provided by applicant): This application is a revised submission for a 5-year competitive continuation to grant 1R01-DA015269, Gender Identity and HIV Risk. The long-range goal of our research is to reduce HIV transmission among individuals stigmatized for their gender nonconformity and diversity, a goal consistent with the Healthy People 2010 objective to reduce the nation's health disparities. Key findings from our prior work were: a) a national sample of these individuals can be effectively reached via the Internet; b) differences in sex, gender identity/role, and sexual orientation are associated with important differences in HIV risk behavior; c) individuals in the female role are particularly vulnerable to HIV infection through the high risk behavior of the men with whom they interact. We propose to build on these findings by investigating the HIV risk behavior and cofactors of this population's high risk male partners (N=400), using online survey and interview methods successfully applied in the original project (Aim 1). These results will help inform the development of a theory- driven, Internet-based, HIV prevention intervention for individuals who are stigmatized for their gender non- conformity (Aim 2). The intervention will be modeled on an offline HIV intervention shown, in an uncontrolled trial, to reduce risk behavior in the target population. After user-testing and refinement of the prototype online intervention, we will conduct a randomized controlled trial (N=600) to evaluate its efficacy in improving health and reducing HIV risk behavior (Aim 3). This study is innovative in that a) few interventions exist for this minority population and even fewer have been adequately evaluated; b) the intervention will combine HIV prevention and behavior change theories with principles of e-learning; c) the entire study will be implemented online. Our team is highly experienced in HIV prevention research with diverse and vulnerable populations, the benefits/challenges of Internet-based research (online recruitment, data collection, intervention adaptation), and sexual health theory and measures. The project has public health significance in that the minority population targeted for intervention is at high risk for HIV infection, and the men with whom they interact not only pose a risk to them, but also to the general population. If proven effective, the online intervention can be implemented with little additional cost to reduce gender-related HIV risks on a large scale, nationally and internationally, even among highly stigmatized groups.       </t>
  </si>
  <si>
    <t>Address;Affect;AIDS prevention;Alcohol or Other Drugs use;Alcohols;Anus;Area;Attitude;base;Behavior;behavior change;Behavioral;Body Image;Characteristics;cofactor;Companions;Computers;condoms;Control Groups;cost;Data;Data Analyses;Data Collection;design;Development;Effectiveness;Enrollment;Ethics;Evaluation;experience;Female;follow-up;Future;Gender;Gender Identity;Gender Role;General Population;Goals;Grant;Health;health disparity;Healthy People 2010;high risk;high risk behavior;HIV;HIV Infections;Hormones;improved;Individual;Injection of therapeutic agent;innovation;instrument;interest;Internet;Intervention;Interview;Knowledge;knowledge base;Learning;male;Measures;Mediation;men;Methods;Minority;Modeling;Participant;peer;Persons;Pharmaceutical Preparations;Play;Population;Population Heterogeneity;Prevention education;Prevention Research;Preventive Intervention;Procedures;programs;prototype;Public Health;Qualitative Research;Randomized Controlled Trials;Recruitment Activity;Reporting;Research;Research Personnel;Respondent;response;Risk;Risk Behaviors;Role;Rural;safer sex;Sampling;satisfaction;Self Efficacy;self esteem;sex;Sex Behavior;Sex Orientation;Sexual Health;Sexual Partners;Silicones;social stigma;Stigmata;success;Surveys;Target Populations;Testing;theories;therapy design;therapy development;Time;transgender;transmission process;United States;United States National Institutes of Health;Unsafe Sex;Vagina;virtual;Vulnerable Populations;Woman;Women's Role;Work;</t>
  </si>
  <si>
    <t>5-APR-2011</t>
  </si>
  <si>
    <t>057595</t>
  </si>
  <si>
    <t>08</t>
  </si>
  <si>
    <t>30-SEP-2001</t>
  </si>
  <si>
    <t>30-JAN-2013</t>
  </si>
  <si>
    <t>MINER, MICHAEL H</t>
  </si>
  <si>
    <t>FAMILY MEDICINE</t>
  </si>
  <si>
    <t>1-MAY-2011</t>
  </si>
  <si>
    <t>Project Summary/Abstract Mental illness costs the United States 1.93 billion in lost earnings per year and suicide, which often occursin the context of mental health problems, is the 10th highest cause of death leading to an estimated 40,000 deathsannually. Lesbian, gay, and bisexual (LGB) adults are twice as likely as heterosexual adults to have beendiagnosed with a mental health disorder. Additionally, 60% of LGB adolescents compared to 26% ofheterosexual adolescents report feeling sad and hopeless for most days in a two-week period. Thus, LGB youthand adults are disproportionally affected by these economic and mortality issues. Mental health disparities withinthe LGB population differ by race, gender, and sexual identity. Understanding health disparities among sexualminorities is a critical health imperative and focus the National Institutes of Health. The link between gender,race, sexual identity discrimination, underlying causes of health disparities, and mental health is an urgentconcern for researchers and health care professionals. Few studies explore how gender, race and sexual identitydiscriminatory experiences are independently and concurrently associated with mental health trajectories in theLGB population. This Predoctoral Fellowship to Promote Diversity in Health-Related Research (F31-Diversity)would allow the applicant to address this gap through his research and training plan. The main objective of Mr. Mallory’s project is to understand how race, gender, and sexual identitydiscrimination independently and in different combinations are associated with mental healthtrajectories. He will accomplish this objective with two aims: (Aim 1) elucidating the individual longitudinalassociations between race, gender, and sexual identity discrimination and mental health trajectories for LGByouth and adults and (Aim 2) testing three competing explanations of how multiple forms of discrimination jointlyto impact trajectories of mental health for LGB youth and adults. The competing explanations are thatdiscrimination is (1) additive: for each additional form of discrimination, mental health will incrementally worsen;(2) exacerbating: mental health symptoms are two and three times worse when experiencing two and threeforms of discrimination; and (3) inuring: mental health does not worsen beyond one form of discrimination. To accomplish the objective and aims of his proposed research plan Mr. Mallory will seek out additionaltraining in analyzing large longitudinal data sets with complex data structures, learning populationhealth and life course theoretical perspectives, and applying an intersectional framework to his researchwhich will augment his core training in Human Development and Family Sciences. His training plancombines formal coursework in population health and statistics, workshops that integrate method, theory, andanalysis for analyzing quantitative data from an intersectional framework, one-on-one mentoring, conferencepresentations, and publishing research to prepare him for a career as an independent researcher.</t>
  </si>
  <si>
    <t>Accounting;Address;Adolescent;Adult;Adverse effects;Affect;Age;Area;austin;base;boys;career;Cause of Death;Cessation of life;Cities;Clinical;Complex;Consensus;Cost of Illness;Cross-Sectional Studies;Data;Data Science;Depressed mood;Deterioration;Development;Diagnosis;Discrimination;early experience;Economics;Educational workshop;experience;Family;Feeling;Fellowship;Funding;Gender;Gender Identity;girls;Health;health disparity;Health Professional;Heterosexuals;High Prevalence;Human Development;Individual;intersectionality;Latina;Lead;Learning;Lesbian Gay Bisexual;Life Cycle Stages;Link;longitudinal dataset;lost earning;Measures;Mental disorders;Mental Health;Mentors;Methodology;Methods;Minority;modifiable risk;mortality;National Institute of Child Health and Human Development;Outcome;Persons;Population;population health;Population Research;Population Statistics;pre-doctoral;Prevalence;prevent;Prevention;Probability Samples;Public Health;Publishing;Race;racial disparity;rate of change;Reporting;Research;Research Personnel;Research Training;Risk Factors;Sampling;Science;Sex Orientation;sexual identity;sexual minority;Shapes;social;social stress;Social support;Statistical Methods;statistics;Stress;stressor;Structure;Subgroup;Suicide;Suicide attempt;symposium;Symptoms;Testing;Texas;theories;Time;Training;United States;United States National Institutes of Health;Universities;Youth;</t>
  </si>
  <si>
    <t>Project Narrative  This study examines how gender, race, and sexual identity discrimination independently and together are associated with LGB youth and adults trajectories of mental health. The results have implications for understanding mental health outcomes and targeting treatment for LGB youth and adults. This project is relevant to public health in the area of health disparities and mental health among LGB youth and adults.</t>
  </si>
  <si>
    <t>16-JUL-2019</t>
  </si>
  <si>
    <t>115608</t>
  </si>
  <si>
    <t>ANDERSON, KATHLEEN C</t>
  </si>
  <si>
    <t>1-AUG-2018</t>
  </si>
  <si>
    <t>31-JUL-2021</t>
  </si>
  <si>
    <t xml:space="preserve">MALLORY, ALLEN </t>
  </si>
  <si>
    <t>OTHER HEALTH PROFESSIONS</t>
  </si>
  <si>
    <t>170230239</t>
  </si>
  <si>
    <t>578403</t>
  </si>
  <si>
    <t>UNIVERSITY OF TEXAS, AUSTIN</t>
  </si>
  <si>
    <t>AUSTIN</t>
  </si>
  <si>
    <t>78759-5316</t>
  </si>
  <si>
    <t>Behavioral and Social Science;Brain Disorders;Clinical Research;Conditions affecting unborn children;Diagnostic Radiology;Drug Abuse (NIDA only);Mental Health;Neurosciences;Pediatric;Prevention;Substance Abuse</t>
  </si>
  <si>
    <t>Addictions constitute the most costly medical illnesses in society today. Onset of drug addiction often beginsin adolescence and an improved understanding of the neural correlates of addiction vulnerability within thisdevelopmental period has significant implications for prevention and treatment interventions. Few priorinvestigations have followed at-risk cohorts from birth through adolescence, and many have focused onboys, generating a relative deficiency in our understanding of these processes in girls and in how boys andgirls differ. No longitudinal studies to date have used brain imaging to identify how boys and girls at risk foraddiction differ in brain function. Furthermore, although cocaine and other drug exposure in utero remains asignificant public health problem, no studies to date have examined the influence of such exposure uponhuman adolescent brain function or addiction vulnerability. We propose examining 120 adolescent girls andboys 13-15 years of age who have been followed since birth, and were either prenatally cocaine-exposed to(PCE) or non-drug exposed in utero (NDE) and are matched on important sociodemographic features thatcategorize them as particularly vulnerable to the development of addiction. We propose using fMRI toinvestigate gender differences in the neural correlates of stress-responsiveness using an fMRI paradigm thatour group has developed and used in prior SCOR-supported research. Our prior SCOR research found thatadult men and women differed in the neural responses to individualized stress, appetitive and neutral scriptswithin limbic or 'emotion-related' brain regions including caudate, amygdala, hippocampus and anteriorcingulate, and that these differences in activations were largely observed during the stress scripts.Furthermore, these responses were differentially altered by chronic cocaine abuse in men and women. Wepropose using this paradigm to examine: 1) sex differences in the neural correlates of stress-responses inthese younger individuals at increased risk for addiction; 2) sex differences in neural activations related to in-utero cocaine exposure; and, 3) the stress-related brain activity that is predictive of subsequent substanceuse behaviors in girls and boys and how they differ across sex group. Findings from this study will providecritical gender-specific data on brain correlates of stress responses in adolescent girls and boys and provideinsights into the risk related neural pathways in adolescent addiction.</t>
  </si>
  <si>
    <t>15 year old;addiction;Addictive Behavior;Address;Adolescence;Adolescent;Adult;Age;age group;Alcohol or Other Drugs use;Amygdaloid structure;Anterior;base;Behavior;biological adaptation to stress;Birth;boys;Brain;Brain imaging;Brain region;Chronic;Clinical;Cocaine;Cocaine Abuse;Cocaine Dependence;cocaine exposure;cohort;Data;Development;Diagnostic;Drug Addiction;drug exposure in utero;Emotions;Exposure to;Female Adolescents;Fetal Cocaine Exposure;fetal drug exposure;Food;Functional Magnetic Resonance Imaging;Gender;girls;Hippocampus (Brain);Human;Imagery;improved;in utero;Individual;insight;Intervention;Investigation;Longitudinal Studies;Male Adolescents;Measures;Medical;men;Neural Pathways;Neurobiology;non-drug;Pharmaceutical Preparations;Prevention;Prevention program;Prevention strategy;Process;Public Health;relating to nervous system;Relative (related person);Research;Research Personnel;Research Support;response;Risk;Risk Factors;Role;Severities;sex;Sex Characteristics;Sexual Development;Societies;Stress;Substance abuse problem;treatment strategy;Woman;Women's Health;Work;Youth;</t>
  </si>
  <si>
    <t>Project Summary/AbstractWe know little about how transgender adolescents and their parents perceive and experience transgenderadolescents' gender identity development, minority stress, and the parent-adolescent stress and supportfactors related to adolescent psychological functioning (i.e. psychological distress, self-image). Transgenderadolescents face minority stressors related to discrimination, stigma and inadequate social support received asthey navigate their transgender identity development across multiple social environments. Additionally, parent-adolescent stress (hereafter referred to as dyadic stress) and parent-support processes can contribute topsychological functioning for all adolescents, and particularly for transgender adolescents navigating theirgender identity development during adolescence.The proposed mixed-method study will use a dyadic approach to explore transgender adolescent and parentperspectives of adolescent minority stress and adolescent-parent stress and support processes and assesscorrelations with adolescent psychological functioning. To harness the full potential of dyadic data collection,the perspectives of transgender adolescents and their parents will be captured independently andsimultaneously using a Life History Calendar qualitative interview approach and quantitative survey of parentsupport and adolescent psychological functioning. Specifically, this study aims to: (1) describe gender minorityadolescents' stressors and parental support from both the adolescent and parent perspectives and identifydyadic stressors experienced by adolescent and parent; (2) identify specific areas of overlap and discordancebetween adolescent and parent regarding stress and support related to adolescent gender identity andexpression; and (3) assess the relationships of minority stress, dyadic stress, parental support andadolescents' psychological functioning.Evidence from the present pilot study will contribute to future studies by: (1) using minority and parent-adolescent support and stress constructs to inform a theoretical model specific to transgender adolescents andtheir parents; (2) providing evidence to understand benefits of involving parents within transgender specificresearch and behavioral health interventions; (3) identifying how social justice oriented policy can promotewell-being for transgender adolescents and families.</t>
  </si>
  <si>
    <t>Adolescence;Adolescent;Adolescent Development;Adult;Age;Alcohol or Other Drugs use;Anxiety;Area;behavioral health;behavioral health intervention;Body Image;Calendar;Child;cisgender;Data;Data Collection;Depression and Suicide;Development;Discrimination;Education;emotional adjustment;Encapsulated;experience;Exposure to;Face;Family;family management;Friends;Future;gender expression;Gender Identity;gender minority;health care availability;Health Surveys;Healthcare Systems;HIV;Hormones;Housing;Image;Individual;Inequality;Interview;Knowledge;Lesbian Gay Bisexual;life history;member;Mental Depression;Mental Health;Methods;Minority;neglect;novel;Outcome;outcome prediction;parent-child communication;Parents;peer;Perception;Personal Satisfaction;Pilot Projects;Policies;Prevention;Process;psychologic;psychological distress;Reporting;Research;response;Risk;Schools;Self Concept;self esteem;Self Perception;Self-Injurious Behavior;Social Environment;Social Justice;social stigma;Social support;Stress;stressor;Suicide;Surveys;System;Theoretical model;transgender;Victimization;Youth;</t>
  </si>
  <si>
    <t>Project Narrative  Transgender adolescents are disproportionately impacted by mental health concerns including depression, anxiety, and poor self-esteem and body image. Research has focused on either the experiences of transgender youth or their parents, but not both, which limits our understanding of transgender adolescent – parent stress (i.e., dyadic stress) and parent support. Specifically, this pilot study uses Life History Calendar (LHC) informed qualitative interviews and a quantitative behavioral health and parent-support survey to investigate transgender adolescent and parent perceptions of adolescent minority stress, adolescent-parent stress and parent support in response to adolescent gender identity development and expression and assesses potential correlations with adolescent psychological functioning.</t>
  </si>
  <si>
    <t>6-JUN-2019</t>
  </si>
  <si>
    <t>PA-16-309</t>
  </si>
  <si>
    <t>091981</t>
  </si>
  <si>
    <t>15-JUN-2018</t>
  </si>
  <si>
    <t>14-JUN-2020</t>
  </si>
  <si>
    <t>DUNLAP, SHANNON LEE</t>
  </si>
  <si>
    <t>SOCIAL SCIENCES</t>
  </si>
  <si>
    <t>15-JUN-2019</t>
  </si>
  <si>
    <t>Abstract Project 2 Suicide is the second leading cause of death in youth ages 10-24 and self-harm, which includes nonfatal suicide attempts (SA) and non-suicidal self-injury (NSSI) are prevalent and are risk factors for future suicide attempts and suicide completion. Self-harm behavior is a disparity for Latinas as well as for sexual/gender minority youth. This study seeks to refine and test the efficacy of a computer assisted culturally informed and flexible/adaptive intervention (CA CIFFTA) to address this disparity and to reduce the logistical barriers that may contribute to underutilization of treatment. We focus the research on Latinas and Latino LGBT youth (both males and females) because both groups show significantly higher risk for self-harm behaviors and can experience unique stressors (e.g., trauma, minority status, family-related stress, and marginalization) that if addressed using a tailored and adaptive intervention, can contribute to health disparities. We seek to refine the multicomponent CA CIFFTA treatment so that it includes new psycho-educational modules designed to serve sexual/gender minority youth. CIFFTA was designed to address the full continuum of unique culture-related stressor (e.g., acculturation, immigration, discrimination due to race, ethnicity), family conflict and substance use, and will be enhanced to address unique life stressors (e.g., family and peer rejection due to LGBT lifestyle, exposure to trauma, and marginalization), and clinical profiles (e.g., depression, emotion dysregulation). The study investigates the efficacy of a hybrid intervention (face to face and web-based interventions) delivered to both adolescents and parents when compared to treatment as usual. The adaptive framework allows the treatment to be systematically tailored to the unique needs of the adolescent/family. The use of technology helps to avoid some of the logistical barriers to service utilization and makes the intervention more engaging. The intervention will be refined (content and technology) and then pilot tested with 100 Latino adolescents 12-18 years of age and their families. Analyses will investigate: 1) the efficacy of the intervention compared to Treatment As Usual, 2) the linkages between co-existing problem areas (e.g., self-harm, risky sexual behavior, substance use) to see if there is evidence for a syndemic; and 3) the relationship of culture- related variables (e.g., acculturation, familism, and Hispanic Stress) to the key factors hypothesized to contribute to self-harm behavior (i.e., depression, family conflict, substance use, and emotion dysregulation). The study will utilize a number of measures that are shared across CLaRO studies and will serve as a context for the mentoring of a young investigator (Dr. Gattamorta) who is seeking to advance her program of research on family process among Latino gender/minority youth.</t>
  </si>
  <si>
    <t>18 year old;Acculturation;adaptive intervention;Address;Adolescent;Affect;Age;AIDS/HIV problem;Alcohol or Other Drugs use;Area;base;Behavior;boys;Categories;Cause of Death;Clinical;Communities;comparative efficacy;Computer Assisted;Conflict (Psychology);coping;Depressed mood;depressive symptoms;design;Development;Discrimination;Disease;efficacy testing;emotion dysregulation;emotion regulation;Ethnic group;Ethnic Origin;experience;Face;Family;Family Process;Feeling;Female;flexibility;Future;Gender;Health;health disparity;High Prevalence;high risk;high risk sexual behavior;High School Student;Hispanics;Hybrids;Immigration;Intervention;Latina;Latino;Lesbian Gay Bisexual Transgender;Lesbian Gay Bisexual Transgender Queer;Life;Life Style;Link;Logistics;male;Measures;Mental Depression;Mentors;Minority;Minority Groups;multi-component intervention;non-suicidal self injury;Office Visits;Online Systems;Parents;peer;Population;programs;psychoeducational;Race;racial and ethnic;Reporting;Research;Research Personnel;Research Project Grants;Risk;Risk Factors;Self-Injurious Behavior;service utilization;Sexual and Gender Minorities;social exclusion;Stress;stressor;Students;Substance abuse problem;Suicide;Suicide attempt;suicide rate;System;Technology;Testing;Time;Trauma;trauma exposure;treatment as usual;Treatment Efficacy;Violence;web site;Work;Youth;</t>
  </si>
  <si>
    <t>7-MAR-2019</t>
  </si>
  <si>
    <t>RFA-MD-17-005</t>
  </si>
  <si>
    <t>U54</t>
  </si>
  <si>
    <t>002266</t>
  </si>
  <si>
    <t>Special Emphasis Panel (ZMD1-XLN)</t>
  </si>
  <si>
    <t>SANTISTEBAN, DANIEL A.</t>
  </si>
  <si>
    <t>27</t>
  </si>
  <si>
    <t>625174149</t>
  </si>
  <si>
    <t>5221201</t>
  </si>
  <si>
    <t>UNIVERSITY OF MIAMI CORAL GABLES</t>
  </si>
  <si>
    <t>CORAL GABLES</t>
  </si>
  <si>
    <t>FL</t>
  </si>
  <si>
    <t>33146-2926</t>
  </si>
  <si>
    <t>1-MAY-2019</t>
  </si>
  <si>
    <t>Clinical Research;Health Disparities;Health Services;Minority Health;Sexual and Gender Minorities (SGM/LGBT*)</t>
  </si>
  <si>
    <t>Background: Transgender adults (“trans persons”) comprise 0.6% of the United States population. The fewstudies that have characterized the care received by trans persons have used relatively small and non-representative samples. There is a need to know more about the care that trans persons currently receive, asa basis for improving this care in the future.Approach: We will use a database containing approximately 160 million people, which is broadly representativeof commercially insured people in the United States. In our pilot analyses, we identified 9,632 trans persons inthis database, based solely upon diagnosis codes for gender dysphoria. Our project will have three aims. First,we will use a more comprehensive approach to identify trans persons in the dataset, including additionaldiagnosis codes, procedure codes, prescription fills, and inconsistencies in the gender variable. Second,having identified a population of trans persons, we will characterize the care they receive. We have identifiedfour prominent clinical practice guidelines for trans care. Using these guidelines, we will identify importantaspects of transgender care that are amenable to being characterized using a large database. As an example,we will characterize the adequacy of laboratory monitoring in patients receiving transgender hormone therapy.We have already identified at least fourteen aspects of care to study. In finalizing our list of analyses, andoperationalizing how we will analyze them, we will be advised by a panel of clinical experts. For each analysis,we will define a denominator, or a group of patients eligible to receive that care element, and a numerator, asubset of the denominator who did receive it. We will calculate the proportion of patients who received eachcare element, and examine differences between subgroups (e.g., male vs. female gender identity, age, race).Third, we will convene a panel of seven clinical experts in trans care, as well as three trans patients. Using ourresults, this technical expert panel (TEP) will help advise us regarding which analyses would be potentiallysuitable to serve as a basis for developing quality of care metrics for trans patients. TEP members will beasked to comment on four aspects of potential quality measures: 1) importance; 2) reliability and validity; 3)ease of understanding; and 4) feasibility of collection and calculation.Anticipated Impacts: This study will constitute the largest study to characterize the care delivered to transpersons to date, and the results will be generalizable to the US population of commercially insured individuals.The methods we develop to identify trans persons in a large, automated database will serve as a basis forfuture studies by our group and by others. In addition to providing a baseline for the quality of care delivered totrans persons today, our results and the input from our TEP will provide a basis for the future development ofquality measures for trans care. The existence of such quality measures has the potential to facilitate qualityimprovement over time.</t>
  </si>
  <si>
    <t>Adult;Age;base;candidate validation;Caring;Clinical;Clinical Data;Clinical Practice Guideline;Code;Collection;Computerized Medical Record;Data;Data Set;Data Sources;data warehouse;Databases;Development;Diagnosis;Discrimination;disparity reduction;Elements;Ensure;Exogenous Hormone Therapy;experience;Female;Feminization;Foundations;Future;Gender;gender dysphoria;Gender Identity;Goals;Guidelines;Health;health care delivery;health care settings;health disparity;Healthcare;hormone therapy;improved;Individual;innovation;Inpatients;insurance claims;Knowledge;Laboratories;male;Masculine;Measures;Medicine;member;method development;Methods;Monitor;Nature;Outpatients;Patient Care;patient population;Patients;Persons;Pharmacy facility;Physicians;Population;Procedures;Process;Provider;Published Comment;Quality of Care;Race;Reporting;Research;Research Personnel;Sampling;service utilization;social stigma;Subgroup;Testing;Time;transgender;United States;United States National Institutes of Health;Validity and Reliability;</t>
  </si>
  <si>
    <t>The goal of this project is to examine the care that is provided to transgender patients, using a large, nationally representative database of commercially insured individuals. Having characterized this care, we will use the results to inform future efforts to create quality of care measures for transgender care, with the help of a panel of experts in transgender medicine. Our eventual goal is to develop quality of care measures for transgender care, which would provide a basis for improving the quality of care delivered to transgender patients over time.</t>
  </si>
  <si>
    <t>19-APR-2018</t>
  </si>
  <si>
    <t>012371</t>
  </si>
  <si>
    <t>BERZON, RICHARD</t>
  </si>
  <si>
    <t>20-SEP-2017</t>
  </si>
  <si>
    <t>Special Emphasis Panel (ZRG1-NRCS-V (08))</t>
  </si>
  <si>
    <t xml:space="preserve">JASUJA, GUNEET K. </t>
  </si>
  <si>
    <t>ROSE, ADAM J.</t>
  </si>
  <si>
    <t>604483045</t>
  </si>
  <si>
    <t>894901</t>
  </si>
  <si>
    <t>BOSTON UNIVERSITY MEDICAL CAMPUS</t>
  </si>
  <si>
    <t>02118-2841</t>
  </si>
  <si>
    <t>1-MAY-2018</t>
  </si>
  <si>
    <t>PROJECT SUMMARY/ABSTRACTAlcohol use adversely impacts health and can be reduced with evidence-based interventions. Minoritypopulations vulnerable to disparities in health conditions and access to health care, such as transgenderindividuals, may be more likely to consume alcohol at unhealthy levels and less likely to receive evidence-based care for unhealthy alcohol use due to unique stressors at the individual- system- and community-level.However, little is known regarding patterns of alcohol use among transgender adults and whether unhealthyalcohol use is appropriately addressed in clinical settings among transgender persons is unknown. Theproposed 2-year study will be conducted in a unique large national dataset from the Veterans HealthAdministration (VA)—the largest integrated care system in the U.S. in which patients are routinely screened forunhealthy alcohol use. The dataset offers a unique and important opportunity to identify a large sample oftransgender patients and includes measures of alcohol use and evidence-based interventions for unhealthyalcohol use for outpatients who receive care in the nationwide VA over 8 years. Specifically, among a nationalcohort of patients receiving care in the VA 2009- 2017, we will: 1) Describe alcohol use patterns amongtransgender adults, overall and relative to non-transgender, and 2) Among patients screening positive forunhealthy alcohol use, describe and compare receipt of evidence-based alcohol-related care (receipt of briefintervention, initiation of and engagement with specialty addictions treatment, and receipt of pharmacotherapyfor alcohol use disorders) by transgender status. Secondarily, we will assess mediation and moderation ofassociations by individual-, system- and community-level stressors. Transgender persons are a vulnerable andstigmatized population who are at risk for health and healthcare disparities. The proposed innovative study willbe the first to our knowledge to describe patterns of alcohol use and receipt of alcohol-related care in anadequately sized sample of transgender adults. Findings will lay the foundation for future intervention researchaimed at reducing alcohol and its related risks in this vulnerable population and will pioneer transgender healthresearch processes related to alcohol use that will be scalable to other healthcare systems.</t>
  </si>
  <si>
    <t>addiction;Address;Adult;Alcohol consumption;alcohol misuse;alcohol screening;alcohol use disorder;Alcohols;base;Birth;brief intervention;care systems;Caring;Chronic;Clinical;cohort;Collaborations;Communities;cultural competence;Data;Data Set;Data Sources;Diagnosis;drinking;efficacy trial;evidence base;Evidence based intervention;Exposure to;Feminine;Financial Hardship;Foundations;Future;Gender;Gender Identity;General Population;Health;health administration;health care availability;health care disparity;health disparity;Health Services Accessibility;Health system;Healthcare;Healthcare Systems;housing instability;Individual;innovation;Integrated Health Care Systems;Intervention;Intervention Studies;Laboratories;Laws;Masculine;Measures;Mediating;Mediation;Mediator of activation protein;Medical;medical specialties;Mental Health;Methods;Military Personnel;Minority;Nature;Outcome;Outpatients;patient screening;Patients;Pattern;Persons;Pharmacotherapy;Population;Populations at Risk;Primary Health Care;Process;protective factors;reduced alcohol use;Research;Risk;routine screening;Sample Size;Sampling;screening and brief intervention;sex;sexual trauma;social;social health determinants;Social support;Stigmatization;stressor;suicide rate;System;transgender;Veterans;Vulnerable Populations;</t>
  </si>
  <si>
    <t>PROJECT NARRATIVE Transgender persons are a vulnerable and stigmatized population at risk for health and health care disparities. The proposed innovative study will be the first to our knowledge to describe patterns of alcohol use and receipt of alcohol-related care in a large sample of transgender adults and to begin to identify mediators and moderators suggesting intervention targets. Findings will lay the foundation for intervention research aimed at reducing alcohol use and its related risks in this vulnerable population and the study will pioneer transgender health research processes related to alcohol use that will be scalable to other healthcare systems.</t>
  </si>
  <si>
    <t>NIAAA</t>
  </si>
  <si>
    <t>17-APR-2019</t>
  </si>
  <si>
    <t>PA-15-301</t>
  </si>
  <si>
    <t>AA</t>
  </si>
  <si>
    <t>025973</t>
  </si>
  <si>
    <t>FREEMAN, ROBERT</t>
  </si>
  <si>
    <t>Special Emphasis Panel (AA (03)-3)</t>
  </si>
  <si>
    <t xml:space="preserve">WILLIAMS, EMILY CATERINA </t>
  </si>
  <si>
    <t>ADMINISTRATION</t>
  </si>
  <si>
    <t>605799469</t>
  </si>
  <si>
    <t>9087701</t>
  </si>
  <si>
    <t>UNIVERSITY OF WASHINGTON</t>
  </si>
  <si>
    <t>SEATTLE</t>
  </si>
  <si>
    <t>WA</t>
  </si>
  <si>
    <t>98195-9472</t>
  </si>
  <si>
    <t>273</t>
  </si>
  <si>
    <t>Basic Behavioral and Social Science;Behavioral and Social Science;Cancer;Clinical Research;Health Disparities;Minority Health;Prevention;Sexual and Gender Minorities (SGM/LGBT*);Smoking and Health;Tobacco</t>
  </si>
  <si>
    <t>﻿   DESCRIPTION (provided by applicant): The primary focus of this proposed study is to consider the potential unintended consequences of tobacco denormalization strategies for LGBT adults. In particular, we will examine the processes of stigmatization as they relate to tobacco denormalization, tobacco use, and sexual and gender identities. This project expands our research portfolio on tobacco-related stigma. Currently we are funded to examine perceptions of tobacco denormalization among African American young adults in California. We will address the following aims: 1. Understand perceptions of tobacco denormalization strategies and related beliefs and attitudes about the stigmatization of tobacco among LGBT smokers and former smokers in California; 2. Examine the ways in which the stigmatization of tobacco use may intersect with sexual and gender identity stigmas; 3. Explore alternative strategies that may be more effective in reducing the prevalence of smoking among  LGBT adults in California. This study includes 2 phases. In Phase 1, we will conduct asynchronous online group interviews in 10 forums where LGBT adults meet and engage online. Phase 2 will consist of 240 in-depth qualitative interviews conducted with LGBT adults who live in California. The sample will be stratified by sexual/gender identity status, smoking status (current smoker/former smoker), and age (young adults/adults) with 15 participants included in each cell. Complementing online group interviews with in-person individual interviews will help to reveal group norms and beliefs as well as the plurality of beliefs within the group to yield a more holistic understanding of study aims. Using a pattern-level approach to the analysis of the narrative data from phases 1 and 2, we will investigate the processes of tobacco-related stigmatization and its relationship to tobacco denormalization for LGBT adults, as well as how the overlapping stigmas of other social identities may shape the experience of tobacco-related stigma for LGBT adults. Results from the study will be disseminated through traditional conference presentations and academic journal publications, as well as through a project website that includes an accessible presentation of study findings and a social media forum to solicit feedback from study participants and people concerned about the high prevalence of smoking among LGBT adults. This application has important implications for developing an alternative and more equitable tobacco prevention strategy that minimizes rather than exacerbates health inequities for LGBT adults. Moreover, this project is situated within a broader public health framework that investigates reasons for unresponsiveness and/or resistance to social norming policies among marginalized minority groups. Findings from this study may have important implications for other types of public health policies as well as implications for researching the persistence of smoking among other minority groups.</t>
  </si>
  <si>
    <t>Address;Adult;African American;Age;American;Attitude;behavior change;Belief;Bisexual;California;cancer type;Cells;Characteristics;Communities;Complement;Consensus;Coronary heart disease;Data;Data Analyses;Data Collection;experience;Feedback;Funding;Gays;Gender Identity;Group Interviews;Health;Health Policy;High Prevalence;Iatrogenesis;Individual;innovation;Intervention;Interview;Journals;Lesbian;Lesbian Gay Bisexual;Lesbian Gay Bisexual Transgender Intersex;Light;men;Minority Groups;Participant;Pattern;Perception;Persons;Phase;Policies;Population;Prevention strategy;Process;programs;Public Health;public health relevance;Publications;Research;Resistance;response;Risk;Sampling;Shapes;Smoke;Smoker;Smoking;smoking prevalence;Smoking Status;social;Social Change;Social Identification;social media;social norm;social stigma;Societies;Stigmatization;Stroke;symposium;Techniques;Time;Tobacco;tobacco control;tobacco prevention;Tobacco use;transgender;transgender men;transgender women;web site;Woman;young adult;</t>
  </si>
  <si>
    <t>PUBLIC HEALTH RELEVANCE: The proposed study will consider the potential unintended consequences of tobacco denormalization strategies for LGBT adults in California. In particular, we will examine the processes of stigmatization as they relate to tobacco denormalization, tobacco use, and sexual and gender identities. Results from this project will shed light on why tobacco denormalization strategies are less effective for LGBT adults as well as to conceptualize and develop alternative approaches that may be more effective for reducing the prevalence of smoking among LGBT adults.</t>
  </si>
  <si>
    <t>20-JUL-2017</t>
  </si>
  <si>
    <t>190238</t>
  </si>
  <si>
    <t>HARTMAN, ANNE</t>
  </si>
  <si>
    <t>31-JUL-2019</t>
  </si>
  <si>
    <t xml:space="preserve">Community-Level Health Promotion Study Section (CLHP) </t>
  </si>
  <si>
    <t>ANTIN, TAMAR MARIE JOHNSON</t>
  </si>
  <si>
    <t>Behavioral and Social Science;Clinical Research;Health Disparities;Mental Health;Minority Health;Pediatric;Prevention;Sexual and Gender Minorities (SGM/LGBT*)</t>
  </si>
  <si>
    <t>﻿   DESCRIPTION (provided by applicant): Lesbian, gay, bisexual, and transgender (LGBT) youth face serious health risks that constitute costly public health concerns. There has been strong documentation of sexual orientation-based disparities on depression, anxiety, and substance use, all of which heighten risk for suicidal ideation and attempts. Further, racial/ethni minority LGBT youth contend with discrimination from multiple marginalized statuses and may face even greater health risks. Yet, there is also a paucity of research on this population. Professional organizations have emphasized the need to consider how social systems contribute to or mitigate health disparities among LGBT populations. Schools are a central access point for resources that may benefit LGBT youth. Few studies, however, have considered school-based programs that address sexual orientation-based health disparities. Gay-Straight Alliances (GSAs) - school-based groups in which LGBT and heterosexual youth receive support and advocate for safer schools - have grown exponentially and serve many youth. Yet, they operate without empirically supported strategies. There are virtually no data on how GSA involvement attenuates negative health outcomes or whether youth from other marginalized backgrounds (e.g., racial/ethnic minority youth, either LGBT or heterosexual) derive benefits. There is a pressing need for data in order to develop effective GSA-based interventions and best practices in general. The current project addresses these gaps. This project is among the first to test how GSA involvement is associated with health outcomes through multiple pathways. It takes advantage of multi-informant data from youth and adults and utilizes quantitative and qualitative data. Data will be gathered from 400 GSA-involved youth (both LGBT and heterosexual) and their GSA advisors among a racially and ethnically diverse sample in 40 GSAs, interviews among 32-40 youth stratified across race/ethnicity, and from a nonmember comparison sample from the same schools. The first aim is to rigorously compare GSA members and nonmembers on health and school outcomes by comparing demographically and socially similar youth in the same school and controlling for confounders. The second aim is to capture variability among GSA members by testing mechanisms by which GSA involvement mitigates negative outcomes. The third aim is to identify race/ethnicity-specific GSA factors that mitigate negative outcomes particularly for racial/ethnic minority youth. Given the growing national presence of GSAs, this knowledge stands to benefit many youth by identifying critical factors underlying health promotion and by providing empirically-based recommendations for best practices to maximize GSA effectiveness. Results will provide a foundation for developing and systematically testing GSA-based interventions.</t>
  </si>
  <si>
    <t>Address;Adult;Advocacy;Advocate;Affect;Alcohol or Other Drugs use;Anxiety;Asians;Attention;Attenuated;Awareness;base;behavioral health;cohesion;comparison group;Conscious;cost;Data;Discrimination;Documentation;effective intervention;Effectiveness;Ensure;ethnic diversity;ethnic minority population;Ethnic Origin;experience;Face;Feeling suicidal;Foundations;Gays;Grant;Health;health disparity;Health Promotion;Heterosexuals;improved;informant;Institute of Medicine (U.S.);Intervention;Intervention Studies;Interview;Knowledge;Latino;Lesbian Gay Bisexual;Link;Massachusetts;Measures;Mediating;member;Mental Depression;Methods;Minority;Minority Groups;Modeling;Outcome;Pathway interactions;peer;physical assault;Population;Professional Organizations;programs;Public Health;public health relevance;Race;racial and ethnic;racial diversity;Recommendation;Reporting;Research;Resources;Risk;Rural;Safety;Sampling;Schools;Self Efficacy;Sex Orientation;social;suicidal risk;Suicide attempt;Surveys;System;Testing;transgender;Validation;Variant;Victimization;virtual;Youth;</t>
  </si>
  <si>
    <t>PUBLIC HEALTH RELEVANCE: This research has the potential for high public health impact to address health concerns among youth from multiple minority groups, including LGBT and racial/ethnic minority youth. It focuses on the ways in which involvement in Gay-Straight Alliances - prominent school-based groups that provide support for these youth - reduces sexual orientation- and race/ethnicity-based health disparities on depression, anxiety, and substance use. This knowledge will be critical for improving health-related interventions among these youth populations.</t>
  </si>
  <si>
    <t>11-JUN-2018</t>
  </si>
  <si>
    <t>009458</t>
  </si>
  <si>
    <t>20-SEP-2015</t>
  </si>
  <si>
    <t xml:space="preserve">POTEAT, PAUL </t>
  </si>
  <si>
    <t>045896339</t>
  </si>
  <si>
    <t>872101</t>
  </si>
  <si>
    <t>BOSTON COLLEGE</t>
  </si>
  <si>
    <t>CHESTNUT HILL</t>
  </si>
  <si>
    <t>02467-3800</t>
  </si>
  <si>
    <t>Behavioral and Social Science;Clinical Research;Clinical Trials;Comparative Effectiveness Research;Drug Abuse (NIDA only);HIV/AIDS;Infectious Diseases;Prevention;Sexually Transmitted Diseases/Herpes;Substance Abuse</t>
  </si>
  <si>
    <t xml:space="preserve">   DESCRIPTION (provided by applicant): Project Summary Transgender women (TW) are at significant risk for HIV infection or transmission as a result of high levels of sexual risk behavirs and co-occurring substance use. Despite HIV and STI rates greater than those of men who have sex with men, there are currently no CDC-approved 'best evidence interventions' to reduce HIV risk for TW. This project seeks to evaluate the efficacy of a peer-led innovative and scalable 7-session hybrid individual- and group-based HIV risk reduction intervention, based on Motivational Interviewing (MI) and Cognitive-Behavioral Skills Training (CBST) with TW in New York City (NYC). The intervention is based on promising findings from a CDC-funded pilot peer-led group intervention for TW, which was shown to be feasible, acceptable, and indicated preliminary efficacy in a short-term follow-up of a non-randomized design with no control group. We propose to expand and refine this intervention, in conjunction with TW and community partners who provide medical, social, and other services for TW, in order to evaluate the longer- term efficacy of a scalable 7-session intervention (two MI-based individual sessions, four MI and CBST-based group sessions, and one MI-based individually-tailored health navigation session) all delivered by TW peer- health navigators (PHN) to reduce risky sex and substance use among TW in NYC. The last session in both conditions will be followed by a phone call from the PHN regarding follow-through with accessing services and facilitation of any needed assistance, and a brief post-intervention assessment of primary outcomes. This randomized control trial (RCT) will examine short (immediate, and 4-months post-intervention) and longer-term (8 and 12-months post-intervention) outcomes between TW randomized to the intervention or an attention control education condition, both of which will include a booster session at 4-months post-intervention. Primary outcomes will be: (1) reductions in sexual risk (self-report and STI incidence), and (2) reductions in substance use (self-report, urine, and substance use related problems) and non-medically monitored hormone treatment and silicone injections. Secondary outcomes will be: (1) increases in resilience (e.g., engagement in care, self- esteem, positive coping), and (2) reductions in minority stress (e.g., internalized transphobia, stigma). In Phase I we will train four TW to be peer health navigators (PHNs) to deliver the 7-session intervention. We will also refine the intervention and develop a 7-session attention education condition based on feedback from PHNs and our community partners. In Phase II, we will recruit 20 TW to pilot both conditions. Participant and PHN feedback will be collected to fine-tune the intervention. In Phase III, 240 TW will be randomized to one of the two arms and outcomes will be assessed over 12-months post intervention. We will conduct biological testing (HIV, Chlamydia, gonorrhea, and syphilis) and collect self-report data to evaluate intervention efficacy. The proposed project will iteratively strengthen an existing promising intervention to provide much needed evidence-based support to reduce the syndemic of risk factors faced by TW, and test the efficacy of a 7- session intervention led by TW peers. This study will be the first in NYC and the US to formally evaluate the utility of a peer-delivered MI and CBST- based intervention tailored for TW, which can then be scalable and replicated in various communities to provide continuous support and protection for this underserved and marginalized vulnerable group.      </t>
  </si>
  <si>
    <t>Accounting;Address;Age;AIDS prevention;AIDS/HIV problem;Alcohol or Other Drugs use;Anus;arm;Attention;Automobile Driving;base;Behavior;Behavior Therapy;Behavioral;Biological;Biological Testing;Buffers;Caring;Centers for Disease Control and Prevention (U.S.);Chlamydia;Cognitive;Communities;community setting;Complex;condoms;Control Groups;coping;cultural competence;Data;depressive symptoms;design;Discrimination;Education;efficacy testing;Ethnic Origin;evidence base;experience;Face;Feedback;Focus Groups;follow-up;Funding;Future;Gonorrhea;group intervention;Health;Health Personnel;Healthcare;high risk;HIV;HIV Infections;HIV risk;Hormones;Hybrids;Incidence;Individual;Injection of therapeutic agent;innovation;Internet;Intervention;intervention effect;Interview;Mediator of activation protein;Medical;men who have sex with men;Minority;Monitor;motivational enhancement therapy;multi-component intervention;New York City;Outcome;Participant;Patient Self-Report;peer;Peer Group;Pharmaceutical Preparations;Phase;Population;post intervention;Pre-Post Tests;preference;Prevalence;Prevention;Preventive;primary outcome;Process;programs;Race;Randomized;Randomized Controlled Trials;Recommendation;Recruitment Activity;Reporter;Reporting;resilience;response;Risk;Risk Behaviors;Risk Factors;Risk Reduction;scale up;secondary outcome;self esteem;Services;sex;Sexual Partners;Silicones;skills training;social;Social Health Services;social stigma;Social Work;Staging;Stress;Syphilis;Telephone;Testing;Time;Training;transgender;transmission process;Treatment Efficacy;trend;United States National Institutes of Health;Unsafe Sex;Urine;Vagina;Vulnerable Populations;Woman;</t>
  </si>
  <si>
    <t>15-JUL-2014</t>
  </si>
  <si>
    <t>PA-09-236</t>
  </si>
  <si>
    <t>034661</t>
  </si>
  <si>
    <t>JENKINS, RICHARD A</t>
  </si>
  <si>
    <t>1-AUG-2012</t>
  </si>
  <si>
    <t>31-JUL-2017</t>
  </si>
  <si>
    <t>Special Emphasis Panel (ZRG1-AARR-F (02)M)</t>
  </si>
  <si>
    <t>PARSONS, JEFFREY T</t>
  </si>
  <si>
    <t>620127915</t>
  </si>
  <si>
    <t>1605019</t>
  </si>
  <si>
    <t>HUNTER COLLEGE</t>
  </si>
  <si>
    <t>10065-5024</t>
  </si>
  <si>
    <t>1-AUG-2014</t>
  </si>
  <si>
    <t>31-JUL-2015</t>
  </si>
  <si>
    <t>Alcoholism;Behavioral and Social Science;Brain Disorders;Child Abuse and Neglect Research;Clinical Research;Clinical Trials;Comparative Effectiveness Research;Health Services;Injury (total) Accidents/Adverse Effects;Injury - Childhood Injuries;Mental Health;Pediatric;Post-Traumatic Stress Disorder (PTSD);Rehabilitation;Serious Mental Illness;Substance Abuse;Underage Drinking;Violence Against Women;Violence Research;Youth Violence</t>
  </si>
  <si>
    <t xml:space="preserve">   DESCRIPTION (provided by applicant): Many youth with the most serious mental health problems resulting from violence exposure and maltreatment never receive mental health services [MHS].8,11 These youth are disproportionately found in juvenile delinquent populations where 67% - 75% have impairing psychiatric disorders, 20% have severe mental disorders and more than 1/3 need ongoing clinical MHS care- a figure twice the rate of the general adolescent population.7-10-12 Girls are the most vulnerable, understudied and underserved but fastest growing delinquent subgroup, with data strongly suggesting they have the most serious MHS needs: 75-95% have histories of child maltreatment, 95-100% have poly-trauma histories of violence exposure, sexual assault and child maltreatment, up to 50% have current Post Traumatic Stress Disorder [PTSD] and substance and alcohol use disorders [SAUD] and they have higher rates of PTSD and suicidality than delinquent boys.7,10,12,26-28 However there are few, if any, rigorously tested interventions available in the juvenile justice system [JJS] for youth with these comorbid problems. Our primary aim in this proposed study is to evaluate the efficacy of Seeking Safety [SS], an intervention for concurrently treating comorbid PTSD and SAUD that also addresses self harm and negative affect regulation, for female delinquents. This study lays the groundwork for developing a model for importing evidence based treatment [EBT] to high-risk youth who gain the attention of the JJS. We will recruit 250 female delinquents, 13 to 18 years old, with comorbid PTSD and SAUD through the San Diego Probation Department's Girls' Rehabilitation Facility. Our primary aims are to 1) use a randomized control trial design to determine the efficacy of an 8-week, 24 session manualized PTSD/SAUD intervention, 13 compared to the 'treatment as usual' [TAU] (8-week, 24 sessions) provided by the Probation Department for SAUD problems and 2) determine if cognitive factors (verbal skills, executive function) are related to treatment outcomes for SS and TAU. Our secondary aims are to 1) evaluate possible modifications to the SS treatment for improving services to the subject population and 2) use this study as a model for importing EBTs to other high-risk youth in Child Welfare and the JJS by partnering with (a) UC San Diego Comprehensive Research Center in Health Disparities to determine the best approach for fostering collaborative relationships within the alliance of San Diego's community clinics and identify funding streams to provide community-based services for a larger high- risk youth population and (b) Center for Criminality &amp; Addiction Research, Training &amp; Application to learn how to disseminate data about EBTs for youth in JJS across the nation and explore strategies to train correctional officers to work more effectively with traumatized and SAUD youth. With unprecedented support and access through the San Diego County Juvenile Court and Probation Department and a currently embedded multi- disciplinary, translational research program (spanning neurocognitive, psychiatric, imaging, genetics research), we are in a unique position to implement this proposed study that bears far reaching policy implications.    </t>
  </si>
  <si>
    <t>18 year old;addiction;Address;adjudicate;Admission activity;Adolescent;adolescent substance use;Advocacy;Affect;Aftercare;Age;Alcohol consumption;Alcohol or Other Drugs use;alcohol use disorder;Alcoholics Anonymous;Anger;Attention;base;Behavior;California;Caring;Child Abuse and Neglect;Child Welfare;Chronic;Clinic;Clinical;Clinical Trials Design;Cognitive;Communities;community based service;community organizations;Comprehension;Continuity of Patient Care;Coping Skills;cost;County;court;Data;design;Development;drinking;Drug usage;Environment;Evidence based intervention;Evidence based treatment;executive function;Exposure to;Feedback;Female;follow-up;Fostering;Frequencies;functional disability;Funding;Future;Genetic Research;girls;Goals;Harm Reduction;health disparity;Health Services Needs;high risk;Image;Impaired cognition;Imprisonment;improved;Intervention;Justice;juvenile delinquent;juvenile justice system;Learning;Liquid substance;Maintenance;maltreatment;Mental disorders;Mental Health;Mental Health Services;Modeling;Modification;Narcotics;Nature;Neurocognitive;Outcome;Outcome Measure;Participant;Pattern;policy implication;Population;Positioning Attribute;post intervention;Post-Traumatic Stress Disorders;probation;Problem Solving;programs;Prostitution;Psychiatric therapeutic procedure;psychoeducation;Psychopathology;public health relevance;Randomized;Randomized Clinical Trials;Randomized Controlled Trials;recidivism;Recording of previous events;Recruitment Activity;Regulation;Rehabilitation therapy;Research;Research Training;Resources;Risk;Safety;Sample Size;Sampling;self help;Self-Injurious Behavior;Services;severe mental illness;Severities;sexual assault;skills;social;Social support;Societies;Stream;Subgroup;Suicide;Symptoms;Testing;therapy design;Training;Translational Research;Trauma;treatment adherence;treatment as usual;treatment duration;Treatment outcome;Treatment Protocols;Ursidae Family;Violence;ward;Work;Youth;</t>
  </si>
  <si>
    <t>PUBLIC HEALTH RELEVANCE: Youth who become involved with the Juvenile Court, either through the Child Welfare or Juvenile Justice system, demonstrate elevated rates of psychopathology and functional impairment, pose significant social and fiscal costs to society and often escape the attention of traditional mental health services. This research examines the efficacy of an evidence based intervention that simultaneously treats comorbid Post Traumatic Stress Disorder and Substance/Alcohol Use Disorders, the most prevalent comorbid pattern observed among high-risk and delinquent girls and a pattern that often results in future arrests (substance use, prostitution). This research will serve as a model for implementing and evaluating evidence based treatments with high-risk youth who gain the attention of the Juvenile Court but are traditionally underserved in the general community.           NARRATIVE Youth who become involved with the Juvenile Court, either through the Child Welfare or Juvenile Justice system, demonstrate elevated rates of psychopathology and functional impairment, pose significant social and fiscal costs to society and often escape the attention of traditional mental health services. This research examines the efficacy of an evidence based intervention that simultaneously treats comorbid Post Traumatic Stress Disorder and Substance/Alcohol Use Disorders, the most prevalent comorbid pattern observed among high-risk and delinquent girls and a pattern that often results in future arrests (substance use, prostitution). This research will serve as a model for implementing and evaluating evidence based treatments with high-risk youth who gain the attention of the Juvenile Court but are traditionally underserved in the general community.</t>
  </si>
  <si>
    <t>066161</t>
  </si>
  <si>
    <t>20-AUG-2010</t>
  </si>
  <si>
    <t>LANSING, AMY E</t>
  </si>
  <si>
    <t>52</t>
  </si>
  <si>
    <t>804355790</t>
  </si>
  <si>
    <t>577507</t>
  </si>
  <si>
    <t>UNIVERSITY OF CALIFORNIA, SAN DIEGO</t>
  </si>
  <si>
    <t>LA JOLLA</t>
  </si>
  <si>
    <t>92093-0934</t>
  </si>
  <si>
    <t>Behavioral and Social Science;Clinical Research;Drug Abuse (NIDA only);Prevention;Substance Abuse</t>
  </si>
  <si>
    <t xml:space="preserve">  DESCRIPTION (provided by applicant): This application describes a four-year project to study the relationship dynamics that contribute to risk for HIV transmission among male-to-female transgender women and their primary male partners. The goal of this research is to test a conceptual framework that contextualizes HIV risk within relationship dynamics, which can produce findings leading to the development of a theory-driven, culturally appropriate relationship-focused HIV prevention intervention for transgender women and their male partners. These communities are among the groups at highest risk for HIV infection in the United States. Our working conceptual model of relationship-level HIV risk emphasizes the contributions of gender roles, power dynamics, couples' communication, agreements about sex outside of the relationship, social and community support, and stigma. Deriving from this framework, we hypothesize that HIV risk for partners in a relationship arises out of both individual-level factors and dyadic-level factors, including discrepancies and disagreements between partners on health-related attitudinal and behavioral domains. We will address these aims using qualitative and quantitative methodologies, involving in-depth individual interviews with 20 couples and cross-sectional surveys with 200 couples. We propose innovative statistical techniques to examine our hypothesized effects. Findings from this research will be used to guide the development of an HIV prevention intervention for this unique relationship dyad, and will expand theoretical understanding of HIV risk within primary relationships. Public health impact: This project has the potential to improve understanding of relationship factors contributing to HIV risk among transgender women and their male partners, which will allow health professionals to intervene more effectively with these groups. Findings will contribute toward developing a theory-driven, culturally appropriate relationship-focused HIV prevention intervention with these groups.        </t>
  </si>
  <si>
    <t>Address;Adherence;Agreement;AIDS prevention;Alcohol or Other Drugs use;base;Behavioral;Commit;Communication;Communities;Complement;Consent;Couples;Cross-Sectional Studies;Data;Development;Drug usage;Female;Gender;Gender Role;Goals;Health;Health Professional;Heterosexuals;high risk;HIV;HIV Infections;Homosexuals;improved;Incidence;Individual;innovation;Intervention;Interview;Investigation;Lead;male;meetings;member;men;Methodology;Modeling;Paper;Persons;Pharmaceutical Preparations;Population;Prevalence;prevent;Preventive Intervention;programs;Public Health;Publications;Research;Research Personnel;Risk;Risk Behaviors;San Francisco;sex;sex risk;social;social stigma;Stigmata;Support System;Techniques;Testing;theories;transgender;transmission process;United States;Unsafe Sex;Vulnerable Populations;Woman;Work;</t>
  </si>
  <si>
    <t>13-MAY-2009</t>
  </si>
  <si>
    <t>018621</t>
  </si>
  <si>
    <t>1-JUN-2006</t>
  </si>
  <si>
    <t>31-MAY-2011</t>
  </si>
  <si>
    <t xml:space="preserve">Behavioral and Social Consequences of HIV/AIDS Study Section (BSCH) </t>
  </si>
  <si>
    <t>1-JUN-2009</t>
  </si>
  <si>
    <t>Cancer;HIV/AIDS;Sexual and Gender Minorities (SGM/LGBT*)</t>
  </si>
  <si>
    <t xml:space="preserve">﻿   DESCRIPTION (provided by applicant): There is an enormous unmet need for research in transgender health and medicine. Transgender people experience systemic health disparities. An obstacle to growth of our understanding of the health care needs of transgender people, and our ability to effectively promote transgender health, is the lack of opportunities for interdisciplinary scientists to meet and exchange ideas about the key issues and methodological challenges in advancing scientific knowledge and evidence-based prevention and care for transgender people. The scientific meeting on research in transgender health and medicine research organized by TransNet, a newly established consortium of researchers focusing on transgender health and medical research, will fill this gap. To be held in the spring of 2015 at a suitable Washington, DC area venue, the scientific meeting will draw together a diverse national group of experts and promising new scientists to advance the state of the science in the study of transgender health and medicine. The meeting core objectives will be to 1) further develop a productive transgender health and medicine research consortium that would become a national forum for an evolving comprehensive research agenda in transgender health, as well as a mechanism for interdisciplinary collaboration in research on cross-sex hormone therapies, surgical interventions, STI/HIV prevention, and trans-appropriate primary and mental health care; 2) develop new research methodologies effective in conducting clinical research with transgender people, a stigmatized, vulnerable, and underserved population; 3) develop and use of standardized approaches to data collection, management, and analysis across a variety of clinical and non-clinical settings; and 4) incorporate community engagement in the research process within the structure and function of the consortium, including transgender community advisory representatives, LGBT community health centers, and community engagement procedures throughout the research process. In response to ongoing advances in the field, an Organizing Committee will select key topics to be addressed at the meeting by the invited speakers and meeting participants. Areas of focus for the spring 2015 meeting include health disparities; gender identity development across the lifespan; clinical management of gender nonconforming children and adolescents; the safety and efficacy of transgender hormone regimens; innovative research methods; and opportunities for collaboration. The format of the proposed spring 2015 meeting includes scientific presentations by invited speakers, presentations of work in progress from leader investigators in transgender health, discussions of methodological problems and solutions, and working group breakout sessions to prioritize a research agenda in transgender health and medicine. Meeting participants will include researchers and clinicians representing the breadth of transgender health and medical research.      </t>
  </si>
  <si>
    <t>Address;Adolescent;Area;behavioral/social science;Caring;Child;Clinical;Clinical Management;Clinical Research;Collaborations;Communities;Community Health Centers;Data Collection;Development;District of Columbia;evidence base;experience;Gender Identity;gender nonconforming;Goals;Gonadal Steroid Hormones;Growth;Health;health disparity;Health Insurance;health knowledge;Healthcare;HIV;HIV/STD;hormone therapy;Hormones;improved;innovation;interdisciplinary collaboration;Knowledge;Lesbian Gay Bisexual Transgender;Life;Longevity;Measures;Medical;Medical Research;Medicine;meetings;Mental Depression;Mental Health;Methodology;neglect;Operative Surgical Procedures;Participant;Patients;Persons;Physicians;Population;Positioning Attribute;Prevention;Procedures;Process;public health relevance;Published Comment;Regimen;Research;Research Methodology;Research Personnel;Resources;response;Safety;Science;Scientific Advances and Accomplishments;Scientist;Smoking;Solutions;Structure;transgender;Underserved Population;United States;working group;</t>
  </si>
  <si>
    <t>PUBLIC HEALTH RELEVANCE: The proposed scientific meeting will contribute to an understanding of the medical, behavioral and social science aspects of transgender health, and serve as a forum to develop a plan for transgender health and medical research across the life continuum. The meeting will develop needed methodologies to engage in scientifically rigorous health research relevant to the transgender patients and their care. This meeting will also provide a prioritization of and agenda for future research in transgender health and medicine.            CRITIQUE NOTE: The sections that follow are the essentially unedited, verbatim comments of the reviewers assigned to this application. They are provided to illustrate the range of opinions expressed. The application was discussed and scored by all reviewers present. The attached commentaries may not necessarily reflect the position of the reviewers at the close of group discussion, nor the final majority opinion of the group.</t>
  </si>
  <si>
    <t>25-APR-2015</t>
  </si>
  <si>
    <t>084267</t>
  </si>
  <si>
    <t>31-MAR-2016</t>
  </si>
  <si>
    <t>Special Emphasis Panel (ZHD1-DSR-W (50))</t>
  </si>
  <si>
    <t xml:space="preserve">FELDMAN, JAMIE  </t>
  </si>
  <si>
    <t>SAFER, JOSHUA DAVID</t>
  </si>
  <si>
    <t>Adolescent Sexual Activity;Behavioral and Social Science;Clinical Research;Clinical Trials;HIV/AIDS;Health Services;Immunization;Infectious Diseases;Pediatric;Pediatric AIDS;Prevention;Vaccine Related;Vaccine Related (AIDS)</t>
  </si>
  <si>
    <t xml:space="preserve">  DESCRIPTION (provided by applicant): Fenway Health, the leading Boston community-health center which has conducted HIV/AIDS research for more than two decades, proposes to establish The Fenway ATU in order to contribute to HIV prevention and therapeutic research in HIV infected and at risk youth. The Fenway ATU is a multidisciplinary collaboration of HIV prevention and treatment researchers and community health providers serving at-risk and HIV- infected adolescents in greater Boston. Fenway Health provides comprehensive medical care to over 1,300 adolescents including: primary care, behavioral health, dental, optometry services and a full service pharmacy. Fenway Health is comprised of: the Ansin Building (a medical and behavioral health practice), The Fenway Institute (a center for research, education and policy) and Sidney Borum (a center for youth and adolescents). Led by Kenneth H. Mayer, MD, a leader in behavioral and biomedical HIV prevention and treatment research, Michelle Lally, MD a senior adolescent HIV researcher, Ralph Vetters, MD, a well- respected provider and specialist in Adolescent and Pediatric Medicine and Steven Safren, PhD, a HIV behavioral scientist, the Fenway ATU is prepared to contribute to the development and implementation of behavioral, community-based translational, prophylactic, therapeutic, microbicide and vaccine trials. The Unit comprises of a long-standing staff of experienced clinicians and community educators whose innovative approach to community engagement has garnered success in involving and retaining hard to reach populations into a spectrum of research studies. Our diverse clinical population includes at-risk young men, women and transgender identified individuals with almost 60% being from communities of color. Given our experienced clinical and research staff, our access to hard to reach populations and our integrated service collaborative, the Fenway ATU is prepared to make strong contributions to improving research access and contributing to the science of HIV prevention and treatment for youth.     RELEVANCE: HIV/AIDS is a significant public health problem facing youth in the greater Boston area. This application demonstrates the capacity of Boston Adolescent Trials Unit to contribute to the Adolescent Medicine Trials Network (ATN) in the area of HIV/AIDS treatment and prevention interventions. The Unit has access to populations which are typically hard to reach and at increased risk for HIV acquisition and will implement our skills of identifying and recruiting these populations in order to advance the science of HIV prevention for uninfected and prevention for positives.                 </t>
  </si>
  <si>
    <t>Adolescent;Adolescent Medicine Trials Network;AIDS prevention;AIDS/HIV problem;Area;base;Behavioral;behavioral health;Boston;Caring;Childhood;Clinical;Clinical Research;Color;Communities;Community Health;Community Health Centers;Dental;Development;Doctor of Philosophy;Education;Enrollment;experience;Health;Health Personnel;health practice;HIV;HIV Infections;improved;Individual;innovation;Institutes;Interdisciplinary Study;Medical;Medicine;microbicide;Optometry;Pharmaceutical Services;Policies;Population;Prevention;Prevention Research;Preventive Intervention;Primary Health Care;prophylactic;Provider;Public Health;Recruitment Activity;Research;Research Personnel;research study;Risk;Science;Scientist;Services;skills;Specialist;success;Therapeutic;Therapeutic Human Experimentation;transgender;Vaccines;Woman;young man;Youth;</t>
  </si>
  <si>
    <t>21-FEB-2014</t>
  </si>
  <si>
    <t>RFA-HD-10-015</t>
  </si>
  <si>
    <t>U01</t>
  </si>
  <si>
    <t>068040</t>
  </si>
  <si>
    <t>RUSSO, DENISE</t>
  </si>
  <si>
    <t>6-APR-2011</t>
  </si>
  <si>
    <t>29-FEB-2016</t>
  </si>
  <si>
    <t>Special Emphasis Panel (ZHD1-DSR-A (15))</t>
  </si>
  <si>
    <t>MAYER, KENNETH H</t>
  </si>
  <si>
    <t>1-MAR-2014</t>
  </si>
  <si>
    <t>28-FEB-2015</t>
  </si>
  <si>
    <t>Behavioral and Social Science;Clinical Research;Drug Abuse (NIDA only);HIV/AIDS;Health Services;Infectious Diseases;Injury (total) Accidents/Adverse Effects;Injury - Childhood Injuries;Mental Health;Pediatric;Pediatric AIDS;Prevention;Substance Abuse;Violence Research;Youth Violence</t>
  </si>
  <si>
    <t xml:space="preserve">DESCRIPTION (provided by applicant): Intentional injury (violence) is the leading cause of death among African-American youth. The provision of medical services in an inner-city Emergency Department (ED) provides a critical opportunity to identify and characterize future timing and pattern of service use among youth with drug use, who may be missed in school-based samples, and who may not yet be in the criminal justice system. Health disparities exist in rates of violent injury among inner-city youth, many of whom are African-American, and are mirrored in limited access to substance use treatment services and over representation in the criminal justice system. Currently, there is a paucity of data on the timing, pattern, barriers, and trajectory of youth with multiple risks (illicit drug use and ED visit for acute violent injury) in terms of their intersection with health services (substance use treatment, mental health, medical) and criminal justice system, which limits the development of optimal timing and setting for interventions. Youth treated in the ED may have exacerbated rates of illicit drug use, and other risk behaviors (e.g., delinquency, HIV risk behaviors, weapon carriage) and different trajectories of outcomes and interactions with service use sectors based on presentation for intentional injury as compared to other complaints (medical, unintentional injuries). Understanding the outcomes and service utilization among inner- city youth with drug use with and without acute violent injury is critically important in developing prevention and treatment services to address these multiple risk factors. We propose a prospective observational study over a two-year period to identify a high risk group of youth with past year illicit drug use (N=800) seeking care in an inner city ED. The specific aims of the study, chosen to obtain data necessary to determine the location and content of subsequent interventions, are: (1) To describe characteristics of youth (ages 14-24; n=800) who report illicit drug use presenting to an urban ED for an acute violent injury (n=400), compared to youth with drug use who seek non-violence related ED care (n=400), including socio-demographic characteristics, problem severity (e.g., substance use, violence, HIV risk behaviors, etc.), enabling factors, and service utilization (i.e., substance use treatment, mental health, and medical); (2) To identify the trajectories of participants' interactions with health services during the two years following their ED visit and the key characteristics (i.e., predisposing, enabling, and need factors) associated with types of service use (substance use treatment, mental health, medical/ ED, and HIV testing) and barriers to these services; and, (3) To measure two-year outcomes for this cohort including, HIV risk behaviors, and to identify key socio- demographic and clinical characteristics of youth with drug use, who have poor outcomes in the two years after ED visit for intentional injury and other medical care. The proposed study represents collaboration with an established team of investigators who have a successful history of conducting substance use research in ED settings. There is a critical need to understand who is at greatest risk for poor outcomes (substance use, criminal justice, medical), and, who is least likely to enter treatment in order to target substance use and mental health interventions for those with greatest need. Results from this proposed study are essential to inform future ED prevention and intervention development to reduce health disparities among inner-city youth with substance use. </t>
  </si>
  <si>
    <t>Abdominal Pain;Accident and Emergency department;Accidental Injury;Acute;Address;Admission activity;Adolescent;adolescent drug use;Adolescent Risk Behavior;adolescent substance use;Adult;Affect;African American;Age;Aggressive behavior;Alcohol consumption;Alcohol or Other Drugs use;Alcohols;assault;base;Behavior;binge drinking;Biological Markers;care seeking;Caring;Caucasians;Caucasoid Race;Cause of Death;Centers for Disease Control and Prevention (U.S.);Characteristics;Clinical;Cocaine;cohort;Collaborations;Communities;condoms;Criminal Justice;Data;data registry;Demographic Factors;demographics;design;Development;Diagnosis;Discipline;Drug usage;Drug user;DSM-IV;Economic Factors;Education;Enabling Factors;Environment;Exhibits;experience;falls;Family;Firearms;follow-up;Future;Gender;Guns;Health;health belief;health care service utilization;health disparity;Health Services;Health Services Accessibility;high risk;high risk sexual behavior;Hispanics;HIV;HIV Infections;HIV risk;Homicide;Hospitalization;Hospitals;Human immunodeficiency virus test;Illicit Drugs;Imprisonment;income insurance;indexing;Individual;Inhalant dose form;injured;Injury;inner city;innovation;Institutes;Intentional injury;interest;interpersonal conflict;Intervention;Justice;Laceration;Life;Location;longitudinal course;Marijuana;Measures;Medical;Mental Health;Mental Health Services;Minor;Modeling;Multiple Partners;Observational Study;Organism;Outcome;Participant;Patients;Pattern;peer;peer influence;Physicians;Population;Population Study;Predisposing Factor;Prevention;Preventive Intervention;Problem behavior;prospective;Race;recidivism;Recording of previous events;Reliance;Reporting;Research;Research Personnel;Resources;Risk;Risk Behaviors;Risk Factors;Sample Size;Sampling;Schools;service utilization;Services;Severities;sex risk;socioeconomics;Staging;Substance abuse problem;substance abuse treatment;System;therapy development;Time;transmission process;Trauma;Vehicle crash;Violence;Violent injury;Visit;Vulnerable Populations;weapons;Work;wound;Youth;</t>
  </si>
  <si>
    <t>PUBLIC HEALTH RELEVANCE: Youth treated in the Emergency Department (ED) for violent injury have high rates of alcohol and illicit drug misuse, and other multiple risk behaviors (i.e. delinquency, HIV risk behaviors, and weapon carriage). The results of this proposed study will inform future intervention development among inner-city youth with substance use.</t>
  </si>
  <si>
    <t>17-APR-2013</t>
  </si>
  <si>
    <t>PA-07-119</t>
  </si>
  <si>
    <t>024646</t>
  </si>
  <si>
    <t>1-MAY-2009</t>
  </si>
  <si>
    <t>30-APR-2014</t>
  </si>
  <si>
    <t xml:space="preserve">Health Services Research Subcommittee (NIDA-F) </t>
  </si>
  <si>
    <t>CUNNINGHAM, REBECCA M.</t>
  </si>
  <si>
    <t>073133571</t>
  </si>
  <si>
    <t>1506502</t>
  </si>
  <si>
    <t>UNIVERSITY OF MICHIGAN AT ANN ARBOR</t>
  </si>
  <si>
    <t>ANN ARBOR</t>
  </si>
  <si>
    <t>MI</t>
  </si>
  <si>
    <t>48109-1276</t>
  </si>
  <si>
    <t>1-MAY-2013</t>
  </si>
  <si>
    <t>Basic Behavioral and Social Science;Behavioral and Social Science;Biotechnology;Brain Disorders;Contraception/Reproduction;Depression;Estrogen;Genetics;Human Genome;Infertility;Mental Health;Neurosciences;Pediatric;Rare Diseases</t>
  </si>
  <si>
    <t>The Role of Gonadotropin Pulsations in the Regulation of Puberty and FertilityAt one extreme of pubertal development, isolated deficiency of GnRH results in a spectrum of rare clinical disorders of isolated GnRH deficiency (IGD), also known as idiopathic hypogonadotropic hypogonadism (IHH), which presents with delayed, incomplete, or absent sexual maturation.  Defining the physiology of GnRH secretion is critical to understanding the clinical heterogeneity of IGD, particularly in light of emerging gene discoveries that aim to elucidate genotype-phenotype correlations.  Non-reproductive phenotypic features have been identified in some individuals, including anosmia, auditory defects, and skeletal, neurological and renal anomalies.  These additional features may be the key to determining the developmental function of genes implicated in this spectrum of disorders.Our clinical protocol (http://gp.nichd.nih.gov), which is a multicenter study in collaboration with the REU at MGH has identified a broad range of LH pulsatility patterns and other features that are being investigated in the context of genetic variants, where identified, in order to increase our understanding of the ontogeny of these disorders.  Our phenotyping efforts have identified that uterine anomalies and Chiari type 1 malformations may represent novel non-reproductive features of IGD, which is now being investigated in our genetic study (below) to determine whether there is a common molecular cause for these phenotypes.  We have also initiated a pilot study to determine the prevalence of psychiatric disorders and symptoms of negative emotional states in our cohort, compared with healthy controls, in order to determine whether there are previously unidentified psychological features in need of further investigation.  Preliminary results from this pilot study suggest that there is an increase in both anxiety and depression symptoms in the IGD group, and that this can be ascertained by online surveys to improve recruitment.  As a result of the phenotyping efforts pioneered by our collaborators at MGH, several rare phenotypic categories have been described in men with IGD, including adult-onset IHH (Nachtigall, LB, et al, N Engl J Med, 1997) and reversal of the disorder after a period of treatment (Raivio, T, et al, N Engl J Med, 2007).  We found that subjects with confirmed reversal, or recovery from HH with sustained endogenous LH pulsatility, are responsive to IV bolus infusions of kisspeptin, a neuropeptide known to be a key stimulus of GnRH release in the human.  On the other hand, subjects who relapse from their recovery are not kisspeptin responsive, while they do respond to GnRH, suggesting that pituitary responsiveness is intact.  Thus, the acquisition and maintenance of kisspeptin responsiveness may play a role in reversal, and by extension in pubertal development (Lippincott, MF, et al, JCEM, 2016).  Neurocognitive Effects of Sex Hormone Deficiency at or Before Puberty There is little existing evidence for the neurocognitive effects of delayed puberty.  We have performed neurocognitive testing and structural and functional MRI on subjects with IGD, compared with healthy controls matched for age, sex, and race.  Accounting for gender, our preliminary findings suggested that in both sexes, pubertal sex steroid deficiency contributes to persistent structural and functional brain differences as well as to neurocognitive deficits primarily involving spatial ability and recognition memory, providing direct evidence in humans about the critical spatiotemporal role played by appropriately timed pubertal sex steroids during normal brain development.  The final analysis of this data is being completed with a manuscript in preparation.The Molecular Basis of Inherited Reproductive DisordersHuman and animal models have identified a number of genes responsible for IGD, but more than half of patients with clinical evidence of the disorder do not have a detectable mutation.  In addition, there is significant clinical heterogeneity among affected individuals, including members of the same family harboring the same mutations, which is often explained by oligo-digenic inheritance patterns.  Exome sequencing (ES) has been performed in the Molecular Genomics Core (NICHD) on many probands participating in our genetic research protocol (http://ird.nichd.nih.gov), including several extended families to identify novel genes responsible for IGD.  Data analysis is underway, and our findings are likely to yield important insights into additional pathways involved in the regulation of GnRH secretion. In one of our larger families, we have identified a novel candidate gene for Kallmann syndrome (KS), which is characterized by IHH and anosmia.  All affected individuals in this family carry a heterozygous nonsense variant in a gene whose function has been indirectly associated in animal models with the neuronal migration defect affecting GnRH neurons is responsible for the KS phenotype.  Functional validation of the role of this gene in IGD is being performed in collaboration with Dr. Susan Wray, NINDS.  In addition, through our collaboration with the REU at MGH, we have also performed ES in several families with IGD and known uterine anomalies, and we have enrolled a cohort of individuals with delayed pubertal development and Chiari type 1 malformations whose genomic DNA will soon be sent for ES, based on discoveries made through our phenotyping protocol.  Analysis of these data has the potential to identify new non-reproductive features of IGD, as well as novel molecular pathways involved in the regulation of GnRH secretion and uterine or brain/skull development.  We are also investigating the role of genetic variants in 55 genes known to cause IGD in a subgroup of individuals with functional hypothalamic amenorrhea (HA), a hormonally similar condition that occurs in association with risk factors such as nutritional deprivation, exercise, or significant stress.  We aim to determine whether variants in the IGD genes are over-represented in individuals with HA, compared to the general population, using controls from the ClinSeq study (Biesecker, LG, et al, Genome Res, 2009).  If the data support our hypothesis, as was the case in our preliminary study of 14 IGD-related genes, this would provide further evidence that heterozygous variants in these genes may confer an increased susceptibility to developing HA in the setting of physiologic stressors, such as nutritional deficiency, extreme exercise, or psychological stress.  At the other extreme of pubertal development are patients with premature reactivation of hypothalamic GnRH secretion, resulting in idiopathic central precocious puberty (CPP).  There is evidence that familial cases account for anywhere from 20-45% of CPP, with most studies describing autosomal dominant inheritance patterns.  Far less is known about the molecular basis of CPP, and candidate gene approaches have not been successful in identifying the molecular basis of this disorder. Thus, an unbiased approach to gene discovery seems more likely to achieve the goal of identifying novel candidate genes responsible for premature GnRH secretion in CPP.  We have established collaborations with investigators both locally and internationally to increase recruitment of families with idiopathic CPP, and we are using next-generation sequencing to identify causative variants in known and novel candidate genes.  Examining the genetic characteristics of subjects with pubertal disorders will reveal insights into the mechanisms underlying the reawakening of the hypothalamic-pituitary-gonadal axis at puberty.  This will provide opportunities for new diagnostic capabilities and therapeutic interventions for disorders of puberty and reproduction.</t>
  </si>
  <si>
    <t>Accounting;Adult;Affect;Age;Amenorrhea;Animal Model;Anosmia;anxiety symptoms;Auditory;base;Biochemical;Biological;Bolus Infusion;Brain;Candidate Disease Gene;Categories;Characteristics;Chiari Malformation Type 1;Child;Clinical;clinical heterogeneity;clinical phenotype;Clinical Protocols;cohort;Collaborations;cranium;Data;Data Analyses;Defect;Delayed Puberty;depressive symptoms;Development;Diagnostic Procedure;Disease;Endocrine;Enrollment;Exercise;exome sequencing;Extended Family;Family;Fertility;Functional disorder;functional hypothalamic amenorrhea;Functional Magnetic Resonance Imaging;Gender;gene discovery;gene function;General Hospitals;General Population;Genes;Genetic;Genetic Research;Genetic study;genetic variant;Genome;Genomic DNA;Genomics;Genotype;GNRH1 gene;Goals;Gonadal Steroid Hormones;Gonadotropin Hormone Releasing Hormone;Gonadotropins;Growth;Hormonal;hormone deficiency;Hormone secretion;Human;human model;human subject;hypothalamic pituitary gonadal axis;Hypothalamic structure;improved;Individual;Inheritance Patterns;Inherited;insight;interest;International;Intravenous Bolus;Investigation;Kallmann Syndrome;Kidney;KISS1 gene;Light;Maintenance;Malnutrition;Manuscripts;Massachusetts;member;memory recognition;men;Mental disorders;migration;Molecular;Multicenter Studies;Mutation;National Institute of Child Health and Human Development;National Institute of Environmental Health Sciences;National Institute of Neurological Disorders and Stroke;negative emotional state;Neurocognitive;Neurocognitive Deficit;neurocognitive test;Neurologic;Neurons;Neuropeptides;Neurosecretory Systems;next generation sequencing;novel;novel diagnostics;nutrient deprivation;Oligonucleotides;Pathway interactions;Patients;Pattern;Phenotype;Physiologic pulse;physiologic stressor;Physiology;Pilot Projects;Pituitary Gland;Play;Precocious Puberty;Predisposition;premature;Preparation;Prevalence;proband;Protocols documentation;psychiatric symptom;psychologic;Psychological Stress;Puberty;Race;Recovery;recruit;Regulation;Relapse;Reproduction;reproductive;reproductive development;Reproductive Physiology;Research Personnel;Risk Factors;Role;sex;Sexual Maturation;skeletal;spatiotemporal;Stimulus;Stress;Subgroup;Surveys;Techniques;Therapeutic Intervention;Translational Research;treatment duration;Validation;Variant;</t>
  </si>
  <si>
    <t>ZIA</t>
  </si>
  <si>
    <t>008919</t>
  </si>
  <si>
    <t xml:space="preserve">DELANEY FREEDMAN, ANGELA </t>
  </si>
  <si>
    <t>Intramural Research</t>
  </si>
  <si>
    <t>Project Summary/Abstract The Management Core is responsible for leadership and networking; communication and problemresolution; administration; and, implementation of the Recruitment, Engagement, and Retention Center that willidentify, recruit and retain all samples for the proposed studies in this U19 application. Two community-basedresearch teams in Los Angeles and New Orleans will screen all intakes at five homeless shelters and gay-identified community based-organizations for 18 months, testing 4500 gay, bisexual and transgender youth(GBTY) and homeless youth (HY) for HIV, sexually transmitted infections (STI), and serious drug use, andobtaining self-reports of mental health, health care utilization, and comorbid conditions. From this initialscreening, the 1500 youth at highest risk of acquiring HIV and 220 youth living with HIV will be identified andrepeatedly assessed at four month intervals over 24 months. Over this time, 36-90 acutely HIV infected youthwill be identified and triaged into potent ARV treatment and a multi-component text, social media, and coachingintervention (Study 1). Interventions with seronegative GBTY and HY and youth living with HIV will also beconducted, with each intervention including both Automated Messaging and Monitoring Interventions andeither an eNavigator or Coach. The Management Core will ensure quality assurance and monitor automatedindices of performance so that the quality of all activities is to the highest scientific standards and consistentwith the values and best interests of the communities and youth participating in the U19 studies. The Management Core will be led by an experienced group of researchers with long histories of productiveand cutting-edge findings in adolescent HIV interventions for both seronegative and seropositive youth;experience in the management of large centers, similar to program projects; expertise in acute infectionsamong infants, adolescent medicine, community-based participatory research, STI, and rapid diagnostic tests;and, experience conducting laboratory research across broad distances and executing complex integratedstudies on collaborative teams.</t>
  </si>
  <si>
    <t>Acute;acute infection;Adherence;Adolescent;Adolescent Medicine;Adverse event;Affect;AIDS prevention;Automated Indexing;base;Bisexual;cohort;Communication;Communities;community based participatory research;Comorbidity;Complement;Complex;Conflict (Psychology);dashboard;Data;Data Collection;Development;Diagnostic tests;Diffusion;Drug usage;Ensure;Ethics;Event;experience;Gays;Goals;health care service utilization;high risk;HIV;HIV Infections;HIV risk;Homeless Youth;Homelessness;Human immunodeficiency virus test;Individual;Infant;Institutional Review Boards;Intake;interest;Intervention;Intervention Studies;Label;Laboratory Research;Leadership;Los Angeles;Manuals;meetings;Mental Health;Modeling;Monitor;National Institute of Child Health and Human Development;Paper;Patient Self-Report;Performance;Pharmaceutical Preparations;Police;Prevention strategy;Problem Solving;Procedures;programs;Protocols documentation;prototype;Publications;quality assurance;Recording of previous events;recruit;Regulation;Reporting;Research Personnel;Resolution;Resources;Sampling;screening;seropositive;Sexually Transmitted Diseases;Shelter facility;Site;social media;symposium;System;Testing;Text;Time;Training;transgender;Triage;Update;Visit;web site;Work;Youth;</t>
  </si>
  <si>
    <t xml:space="preserve">ROTHERAM-BORUS, MARY JANE </t>
  </si>
  <si>
    <t>Behavioral and Social Science;Clinical Research;Clinical Trials;Depression;Mental Health;Mind and Body;Pediatric;Prevention;Suicide</t>
  </si>
  <si>
    <t xml:space="preserve">  DESCRIPTION (provided by applicant): Reducing suicide and suicide attempts in adolescents are two of the health promotion and disease prevention objectives of Healthy People 2010. Despite the morbidity and mortality associated with suicide attempts in adolescents, we lack empirically supported treatment strategies and consensus regarding best practices. This proposal aims to address this critical public health problem by developing, piloting, and evaluating an intervention protocol aimed specifically at preventing repeat and potentially lethal suicide attempts. The work involves two phases. During Phase 1, we will develop and pretest the intervention manuals and protocol, training and quality assurance protocols, and adherence measures with 25 youth. In Phase 2, we will randomly assign 60 youth to the SAFETY Intervention (n=30) or Usual Care (n=30). The SAFETY Intervention is an individually tailored intervention strategy that integrates: 1) family and community based interventions aimed at mobilizing family and community networks that support youth safety, adaptive behavior, and reasons for living, and decreasing factors contributing to suicidality; 2) cognitive-behavioral treatment modules that focus on decreasing suicidality and preventing repeat suicide attempts; and 3) an individualized care linkage strategy that links youth to needed services and resources. Outcomes are monitored at 3- and 6-month follow-up assessments, by evaluators who are blinded to intervention condition. Primary outcomes are: hospitalizations; incidence of repeat suicide attempts; and youth and parent satisfaction with mental health services. Secondary outcomes are: youth depression; hopelessness; reasons for living; mental health related quality of life; and parent/caregiver emotional well being. We examine potential moderators (e.g. depression, age, gender, ethnicity) and mediators (reasons for living, hopelessness, depressive symptoms, family conflict, social support) of treatment response. To anticipate key issues that are important for intervention feasibility and effectiveness under usual practice conditions and eventual community adoption, we include partners from community mental health programs in the treatment development process. This project aims to further develop and conduct a preliminary evaluation of the SAFETY Program, an intervention aimed at preventing suicide and suicide attempts in adolescents. Suicide is the third leading cause of death among adolescents and reducing suicide and suicide attempts in adolescents are two of our national health promotion and disease prevention objectives (Healthy People 2010, Office of Disease Prevention and Health Promotion, 2000).      </t>
  </si>
  <si>
    <t>Adaptive Behaviors;Address;Adherence;Adolescent;Adoption;Adverse event;Age;aged;American;base;Behavior Therapy;Blinded;Caregivers;Caring;Cause of Death;Cognitive;cognitive function;Communities;Community Networks;Confidence Intervals;Conflict (Psychology);Consensus;Consumer Satisfaction;Data;depression;depressive symptoms;design;Development;disorder prevention;dissemination trial;Effectiveness;Enrollment;Ensure;Ethnic Origin;Evaluation;evidence base;Family;Feedback;Feeling hopeless;follow up assessment;follow-up;Foundations;Funding;Gender;Grant;Health Promotion;health related quality of life;Healthy People 2010;Hospitalization;Incidence;Intervention;intervention effect;intervention program;Laboratories;Life;Link;Manuals;Measures;Mediator of activation protein;Mental Health;Mental Health Services;Modeling;Monitor;Morbidity - disease rate;mortality;novel;Outcome;Parents;Participant;Phase;Phase I Clinical Trials;Pilot Projects;post intervention;prevent;Prevention;primary outcome;Process;programs;Protocols documentation;Public Health;quality assurance;Randomized;Randomized Controlled Trials;reducing suicide;Research;Research Infrastructure;Resources;response;Safety;Sampling Biases;satisfaction;secondary outcome;service intervention;Services;Social support;Staging;suicidal behavior;Suicide;Suicide attempt;suicide attempter;Suicide prevention;Supervision;Teenagers;Testing;therapy development;Training;treatment as usual;treatment response;treatment strategy;Variant;Well in self;willingness;Work;Youth;</t>
  </si>
  <si>
    <t>12-FEB-2009</t>
  </si>
  <si>
    <t>PAR-06-248</t>
  </si>
  <si>
    <t>078082</t>
  </si>
  <si>
    <t>SHERRILL, JOEL</t>
  </si>
  <si>
    <t>1-MAY-2007</t>
  </si>
  <si>
    <t>ASARNOW, JOAN ROSENBAUM</t>
  </si>
  <si>
    <t>1-MAR-2009</t>
  </si>
  <si>
    <t>Behavioral and Social Science;Brain Disorders;Clinical Research;Mental Health;Schizophrenia;Serious Mental Illness</t>
  </si>
  <si>
    <t xml:space="preserve">   DESCRIPTION (provided by applicant): Sexual and gender minority individuals with severe mental illness (SMI) are amongst the most marginalized individuals in North American society. They face multiple and intersecting forms of discrimination that compound the effects of having a major mental illness, hampering recovery and frustrating efforts to meaningfully participate in our communities. Previous work has made it clear that the development of evidence-based interventions needs to be informed by a better understanding of points of access to community, the barriers, and the strategies by which access is negotiated. Complementing a study of community participation amongst an ethnoracially diverse group of individuals with schizophrenia in Toronto, Ontario, this project will involve the development of a new arm of the study that would focus specifically on lesbian, gay, and transgender individuals with schizophrenia. Specifically, this study will identify the experiences, beliefs, behaviors, and places that constitute community participation for lesbian, gay, and transgender (LGT) people with schizophrenia and those with whom they interact. It will provide an intensive and nuanced description of community participation for these groups that will offer policy makers and clinicians in-depth information which may help them in improving services.  In the course of the study, the community participation experiences of 16 lesbian, gay, bisexual, and transgender individuals with schizophrenia would be assessed 3 times over a 1 year period. Using interviews, ethnographic observation, and the creation of maps to geographically locate places of risk and resource, we will examine the physical, social, psychological, political, economic, andcultural dimensions of community participation. Inquiry will extend from individuals with schizophrenia to include family members and service providers of participants as well as community members with whom they are in frequent contact (e.g., convenience store clerk). In a context of an increasing emphasis upon community participation as a treatment goal and civil right, and evidence indicating the negative impacts on mental health of discrimination and social exclusion, the proposed study represents an important and much called for line of investigation. With an in-depth understanding of community participation for this population we will be in a far better position to begin to explore how we might better facilitate inclusion and, in turn, evaluatethose efforts. 1      </t>
  </si>
  <si>
    <t>Advocacy;Affect;American;Area;arm;Attention;Behavior;Belief;Bisexual;Caring;Civil Rights;Clinical;Communities;Community Participation;Complement;Complex;Development;Dimensions;Discrimination;Economics;Ethnography;Evidence based intervention;Exclusion;experience;Face;Family;Family member;Fostering;Gays;Gender;Goals;Grant;health disparity;Healthcare Systems;improved;Individual;Intervention;Interview;Investigation;Lesbian;Life;Major Mental Illness;Maps;Mediation;member;Mental disorders;Mental Health;Methodology;Methods;Minority;Modeling;Ontario;Participant;Persons;physical conditioning;Policy Maker;Policy Research;Population;Population Heterogeneity;Positioning Attribute;Process;Provider;psychologic;public health relevance;Published Comment;Recovery;Research;Resources;Risk;Schizophrenia;Services;severe mental illness;social;Social Discrimination;social stigma;Societies;Survivors;theories;Thick;Time;transgender;United States;Work;</t>
  </si>
  <si>
    <t>PUBLIC HEALTH RELEVANCE: Severe mental illnesses such as schizophrenia which affect hundreds of thousands of Americans and their families present a tremendous challenge to care providers and high burdens to our healthcare system. This challenge is both amplified and protracted for sexual and gender minority individuals who face multiple forms of discrimination and barriers to recovery and community participation. Our work will lay the groundwork for our developing a better understanding about how we can reduce that discrimination in community contexts and develop interventions to facilitate community participation among sexual and gender minority individuals with severe mental illness.</t>
  </si>
  <si>
    <t>3-JUL-2014</t>
  </si>
  <si>
    <t>PA-12-112</t>
  </si>
  <si>
    <t>100542</t>
  </si>
  <si>
    <t>MORRIS, SARAH E</t>
  </si>
  <si>
    <t>20-AUG-2013</t>
  </si>
  <si>
    <t>31-JAN-2016</t>
  </si>
  <si>
    <t>KIDD, SEAN ANDREW</t>
  </si>
  <si>
    <t>207855271</t>
  </si>
  <si>
    <t>562101</t>
  </si>
  <si>
    <t>CENTRE FOR ADDICTION AND MENTAL HEALTH</t>
  </si>
  <si>
    <t>TORONTO</t>
  </si>
  <si>
    <t>ON</t>
  </si>
  <si>
    <t>M5S2S-1</t>
  </si>
  <si>
    <t>CANADA</t>
  </si>
  <si>
    <t>Adolescent Sexual Activity;Behavioral and Social Science;Contraception/Reproduction;Mental Health;Pediatric;Teenage Pregnancy;Violence Research;Youth Violence</t>
  </si>
  <si>
    <t xml:space="preserve">﻿   DESCRIPTION (provided by applicant): Early pubertal timing is one of the best-replicated antecedents of adolescent problems in girls. What happens during the span of reproductive maturation contributes to levels of physical and psychological health, educational attainment, and financial security not just for individuals, but for their offspring and families, the peers an romantic partners with whom they interact, and their broader neighborhoods and communities. The proposed research estimates the longevity of the effects of early pubertal timing on women's health and well-being, considering depression, substance use and abuse, antisocial behavior, and physical health in adulthood. We posit that one mechanism for long-term associations is through stressful life events: early puberty increases exposure to stressors and traumas that shape future vulnerability. Drawing on two uniquely rich datasets, the National Longitudinal Study of Adolescent and Adult Health and the National Longitudinal Survey of Youth, our project leverages a sibling comparison design to examine links between pubertal timing and adult health in a way that enables a clearer test of causal mechanisms. We consider (1) direct effects of pubertal timing on adult health outcomes; (2) associations of pubertal timingwith five adolescent experiences (physical assault, sexual assault, high school drop-out, teen pregnancy, criminal arrest); (3) whether these significant experiences mediate associations of early pubertal timing with physical and psychological health in adulthood; and (4) three protective buffers at the individual, school, and community level that may mitigate long-term sequelae of early maturation. Each data set has extensive longitudinal information (spanning 2-3 decades) on a large, ethnically diverse, nationally representative sample. Our project is distinct in its synthesis of complex, quantitative methodology with theory-driven, public health-oriented research questions. Results from this project are well-poised to improve women's mental health and life experiences, by identifying appropriate intervention targets and helping calibrate intervention efforts to be both effective and meaningful for women.      </t>
  </si>
  <si>
    <t>Adolescence;Adolescent;Adult;Age;Alcohol or Other Drugs use;Americas;antisocial behavior;Anxiety Disorders;Area;Buffers;Characteristics;Child Rearing;Childhood;Communities;Complex;contextual factors;cost effective;Data;Data Set;design;Development;Drops;Eating;Economically Deprived Population;Emotional;ethnic diversity;Ethnic Origin;Etiology;Event;Exhibits;experience;Exposure to;externalizing behavior;Failure;Family;family structure;Female Adolescents;Future;Genetic;girls;Goals;Health;high school;improved;Individual;interest;Intervention;Knowledge;Life;Life Experience;Link;Literature;Long-Term Effects;Longevity;Longitudinal Studies;Longitudinal Surveys;Measures;Mediating;Mediator of activation protein;Mental Depression;Mental Health;Methodology;Modeling;Neighborhoods;offspring;Outcome;Pain;peer;Personal Satisfaction;physical assault;physical conditioning;Poverty;Pregnancy in Adolescence;Primary Prevention;Process;prospective;protective effect;psychologic;psychosocial;pubertal timing;Puberty;Public Health;public health relevance;Race;Randomized;Recurrence;reproductive;Research;Risk;Risk Factors;Sampling;Schools;Security;sexual assault;Shapes;Siblings;Sister;social;Social support;Stressful Event;stressor;Substance abuse problem;Testing;theories;Trauma;Ursidae Family;Woman;Women's Health;Youth;</t>
  </si>
  <si>
    <t>PUBLIC HEALTH RELEVANCE: Early maturing girls bear a disproportionate burden of risk for physical and psychological health problems. As the age of pubertal onset declines in America, there is a pressing social need to resolve several key questions regarding earlier maturation: the duration of psychological problems correlated with earlier pubertal development; the protective effects of social supports at the individual, school, and community levels; and the association between earlier development, puberty-initiated stressful events in adolescence, and adult health and well-being. The knowledge gained in our proposed research will identify whether, when, and on what processes we should direct our intervention efforts for early maturation.</t>
  </si>
  <si>
    <t>10-APR-2016</t>
  </si>
  <si>
    <t>PA-13-304</t>
  </si>
  <si>
    <t>084711</t>
  </si>
  <si>
    <t>31-MAR-2018</t>
  </si>
  <si>
    <t xml:space="preserve">MENDLE, JANE E </t>
  </si>
  <si>
    <t>RYAN, REBECCA MARIE</t>
  </si>
  <si>
    <t>23</t>
  </si>
  <si>
    <t>872612445</t>
  </si>
  <si>
    <t>1514802</t>
  </si>
  <si>
    <t>CORNELL UNIVERSITY</t>
  </si>
  <si>
    <t>ITHACA</t>
  </si>
  <si>
    <t>14850-2820</t>
  </si>
  <si>
    <t>Project Summary/AbstractSuicide and suicidal behaviors among youth in the United States represents a significant public healthproblem. Youth involved in the juvenile justice system have a greater burden of risk factors associated withsuicide ideation and behaviors as compared to their non-justice involved peers, placing these youth at greaterrisk for suicide. Thus, the overall goal of this Mentored Patient-Oriented Research Career Development Award(K23) is to support the applicant in developing the skills to launch an independent research program focusedon the dissemination and implementation of evidence-based interventions for court-involved non-incarcerated(CINI) youth involved in the juvenile justice system to reduce psychiatric morbidity. Specific training goals are:(1) engage in intensive clinical and research training to increase my expertise in conducting brief interventionsfor adolescent suicide, (2) develop expertise in dissemination and implementation strategies and research inthe juvenile justice system, (3) achieve skills in mixed-method research methodology including design andanalysis of studies to support causal inference when randomization is not possible. The applicant will pursuethese goals through a combination of mentoring, didactics, and practical experience. Specific training goals forthis 5-year-period will be achieved under the mentorship of Drs. Anthony Spirito (Brown University), MarinaTolou-Shams (UCSF), Gina Vincent (UMASS Medical School), and Peter Friedmann (Baystate Health). Theobjective of the proposed research study is to 1) identify individual-, administrative-, and system-level factorsthat promote or hinder uptake of a brief suicide intervention conducted by front-line juvenile justice staff withCINI youth and 2) implement an evidence-based brief intervention, safety planning, for suicidal CINI youth andevaluate its utility with these youth. In the Treatment Adaptation phase, 12 juvenile justice stakeholders will beinterviewed pre- and post-intervention implementation, as well as 24 youth and 24 caregivers 3-months post-intervention, about the acceptability of the brief intervention in the juvenile court setting. In the Treatment Trialphase, we will examine the effectiveness of a safety planning intervention for indicated suicidal youth inreducing suicidal ideation, in reducing suicidal events (suicide attempts as well as emergency evaluations andpsychiatric hospitalizations for suicidality), increased engagement in outpatient mental health treatment, andimproved youth motivation for treatment. CINI juveniles, ages 12-17, (N=100 for baseline (historical control)cohort; N=100 for efficacy trial; N=100 for alternative causal design) and a caregiver will be recruited from thejuvenile court to participate in the current study. CINI juveniles in the efficacy trial will receive the evidenced-based brief suicide intervention as part of standard of care and will be compared to historical control andalternative causal design. Baseline data will be collected as part of routine care. Youth and a caregiver will bere-assessed at 3 months subsequent to the juvenile's initial court appointment.</t>
  </si>
  <si>
    <t>Accident and Emergency department;Address;Administrator;Adolescent;adolescent suicide;Age;Appointment;base;Behavioral;behavioral health;brief intervention;Caregivers;Caring;Cause of Death;Clinical;Clinical Research;cohort;Communities;Community Practice;community setting;Coordination and Collaboration;cost;court;Data;design;Effectiveness;Effectiveness of Interventions;efficacy trial;Emergency medical service;Emergency Situation;Evaluation;Event;evidence base;Evidence based intervention;experience;Family;Feeling suicidal;Future;General Population;Goals;Health;Health system;Healthy People 2020;high risk;high risk population;Home environment;Hospitalization;implementation research;implementation strategy;improved;Individual;innovation;Intervention;Interview;Investigational Therapies;Justice;juvenile justice system;Knowledge;learning strategy;Literature;medical schools;Mental Health;Mental Health Services;Mentored Patient-Oriented Research Career Development Award;Mentors;Mentorship;Methods;Morbidity - disease rate;Motivation;National Institute of Mental Health;novel;Outpatients;Partnership Practice;peer;Phase;post intervention;practice setting;Prevalence;Process;programs;Protocols documentation;Public Health;Randomized;recruit;reducing suicide;Research;Research Methodology;Research Project Grants;research study;Research Training;Risk Factors;Role;routine care;Safety;screening;screening and brief intervention;Self-Injurious Behavior;service delivery;Service delivery model;Services;skills;standard of care;Strategic Planning;suicidal;suicidal adolescent;suicidal behavior;suicidal risk;Suicide;Suicide attempt;Suicide prevention;System;Techniques;Testing;Time;Training;Trauma;treatment trial;Underserved Population;United States;Universities;uptake;Work;Youth;</t>
  </si>
  <si>
    <t>Project Narrative A youth's contact with the juvenile justice system represents an opportune moment for suicide screening and brief suicide intervention for indicated youth. This study will provide data on the novel implementation of an evidence-based brief suicide intervention, safety planning, administered by front-line juvenile court staff for suicidal court-involved non-incarcerated youth. Data will inform the dissemination and implementation of suicide brief interventions to be delivered by front-line staff at the time of mental health screening in the juvenile justice system. The proposed study is consistent with the NIMH Strategic Plan by testing an intervention for effectiveness in community settings (Strategy 3.3) and establishing a research-practice partnership to improve D&amp;I of evidence-based MH services (4.2). The unique service delivery by JJ court staff also supports the NIMH goals to develop innovative service delivery models (Strategy 4.3) as well as validate a MH intervention for an underserved population (Strategy 4.1). This proposal also addresses the Healthy People 2020 goals of reducing suicide attempts (MHMD-2).</t>
  </si>
  <si>
    <t>27-MAY-2019</t>
  </si>
  <si>
    <t>PA-14-049</t>
  </si>
  <si>
    <t>111606</t>
  </si>
  <si>
    <t>9-SEP-2016</t>
  </si>
  <si>
    <t>075710996</t>
  </si>
  <si>
    <t>6959701</t>
  </si>
  <si>
    <t>RHODE ISLAND HOSPITAL</t>
  </si>
  <si>
    <t>02903-4923</t>
  </si>
  <si>
    <t>Basic Behavioral and Social Science;Behavioral and Social Science;Brain Disorders;Clinical Research;Mental Health;Mind and Body;Pediatric;Prevention</t>
  </si>
  <si>
    <t>DESCRIPTION (provided by applicant): The goals of the proposed five year study are to 1) determine the prevalence of Psychiatric Disorders and Behavioral Health Outcomes, including emotional and behavioral functioning, HIV risk behaviors, and adherence to medication in perinatally HIV-infected adolescents; 2) examine the association between HIV infection and Psychiatric Disorders and Behavioral Health Outcomes by comparing perinatally HIV-infected youth to uninfected youth exposed to HIV in utero (seroreverters); and 3) identify risk and protective factors related to Behavioral Health Outcomes in both groups prospectively over 18 months. To achieve the study goals, we will conduct a five year, longitudinal study of 200 perinatally HIV-infected children and 150 seroreverters, ages 9 - 16 years, residing in NYC, one of the epicenters of the HIV epidemic among women and children in the US. The proposed sample of 700 participants will consist of the child (n = 350) and his/her primary caregiver (n = 350). Two sources of data will be used: 1) caregiver and child interviews and 2) medical chart abstraction (lymphocyte subsets, HIV RNA viral load, CDC diagnosis, antiretroviral treatment, medical service utilization). Each participant will be individually interviewed at baseline and 18-month follow-up. The interview, guided by Social Action Theory, will assess Psychiatric Disorders, Behavioral Health Outcomes, and a range of determinants of Behavioral Health Outcomes. These determinants consist of the individual's self-regulation processes and the larger social, family, individual, and environmental context. In the proposed study, we emphasize the importance of the child's HIV status and psychiatric functioning as well as family factors (communication, supervision, and involvement) in influencing Behavioral Health Outcomes. Participants will be recruited from four major medical centers in NYC, each of which provides comprehensive medical and mental health care to HIV-infected children and seroreverters. Reflecting the pediatric HIV epidemic, the patients in these clinics are primarily African American and Latino, living in poverty in inner-city communities, with high HIV seroprevalence and rates of drug use. The proposed study will inform us about the specific stressors and correlates of mental health problems, as well as HIV risk behavior in this population. Thus, it will be a critical step in the development of effective interventions for a population that is fast emerging as a new risk group both in the US and in developing countries with 'limited access to treatment and other resources.</t>
  </si>
  <si>
    <t>Adherence;Adolescence;Adolescent;Affect;Africa;African American;Age;Alcohol consumption;Alcohol or Other Drugs use;Alcohols;Anti-Retroviral Agents;Anxiety;Asia;base;Behavior;behavior influence;Behavioral;behavioral health;Belief;Biological;Body Image;Caregivers;Caring;Centers for Disease Control and Prevention (U.S.);Child;Child Development;Child health care;Childhood;Clinic;Clinical;Cognitive;cognitive function;Coitus;Communication;Communities;comparison group;contextual factors;Country;Data;Data Sources;demographics;design;Developed Countries;Developing Countries;Development;Diagnosis;Diagnostic;Disclosure;Disease;Disruptive Behavior Disorder;Doctor of Philosophy;Drug usage;DSM-IV;Education;Emotional;Employment;Epidemic;ethnic minority population;Ethnic Origin;Event;Family;Family Process;follow-up;Funding;Future;Gender;Goals;Grant;Health;Health behavior;health care service utilization;Health Services Accessibility;HIV;HIV Infections;HIV Seropositivity;HIV Seroprevalence;immune function;improved;in utero;Individual;Informal Social Control;inner city;Intervention;Interview;Knowledge;Language;Latin America;Latino;Left;Length;Life;Longitudinal Studies;Lymphocyte Subset;Marital Status;Mediation;Medical;Medical center;Mental disorders;Mental Health;Mental Health Services;Modeling;Moods;Mothers;Motivation;Neurocognitive Deficit;New York City;Numbers;Other Resources;Outcome;Parents;Participant;Patients;peer;Perinatal;Pharmaceutical Preparations;Placement;Population;Populations at Risk;Positioning Attribute;Poverty;Prevalence;Prevention intervention;Preventive;Problem behavior;Problem Solving;Process;protective behavior;Puberty;Race;Range;Rate;Recruitment Activity;Reporting;Reproductive Health;Research;resilience;Resources;Risk;Risk Behaviors;Role;Sampling;Schools;Self Concept;self esteem;service utilization;Sex Behavior;social;Social Interaction;Social Problems;social stigma;Specific qualifier value;Staging;Stigmata;Stress;stressor;Supervision;Theoretical model;theories;Therapeutic;therapy development;Time;Translating;transmission process;United States;Violence;Viral Load result;viral RNA;Woman;Youth;</t>
  </si>
  <si>
    <t>20-NOV-2007</t>
  </si>
  <si>
    <t>069133</t>
  </si>
  <si>
    <t>FORSYTH, ANDREW D</t>
  </si>
  <si>
    <t>11-DEC-2003</t>
  </si>
  <si>
    <t>30-NOV-2008</t>
  </si>
  <si>
    <t>MELLINS, CLAUDE ANN</t>
  </si>
  <si>
    <t>079919916</t>
  </si>
  <si>
    <t>1-DEC-2007</t>
  </si>
  <si>
    <t>Behavioral and Social Science;Clinical Research;HIV/AIDS;Infectious Diseases;Mental Health;Pediatric;Pediatric AIDS;Prevention;Violence Against Women;Violence Research</t>
  </si>
  <si>
    <t xml:space="preserve">   DESCRIPTION (provided by applicant): Rachel L. Kaplan, PhD, MPH is a public health researcher at the Center for Research and Education on Gender and Sexuality at San Francisco State University and a postdoctoral scholar at University of California, Berkeley's Mack Center on Mental Health and Social Conflict. Dr. Kaplan's long-term career objective is to become an independent researcher specializing in the development and implementation of sexual and mental health promoting interventions among sexual minority populations in international settings. The proposed training, mentorship, and research plan support this goal and will provide her with the theoretical and practical skills necessary to become an independent intervention researcher. Although transgender women are among the most-at-risk populations for contracting HIV, few studies have been conducted to determine the most feasible and acceptable ways to impact risk. Further, knowledge of sexual and mental health among transgender women has been derived mostly from the United States. There is an urgent need for culturally relevant interventions for this marginalized population in poorly-resourced, high-stigma settings. The proposed study will address these gaps by: (1) exploring the psycho-social and cultural factors that form the context in which transgender women's sexual and mental health are situated; (2) determining how to impact transgender women's sexual and mental health through adaptation of a prevention intervention; and (3) assessing the feasibility and accessibility of the prevention intervention through pilot testing among transgender women in Lebanon. It is expected that this research will reveal prevention needs and strategies specific to transgender women in the Middle East and provide unique and powerful results to inform efficacy testing in future larger- scale trials in international settings.      </t>
  </si>
  <si>
    <t>Address;Affect;AIDS prevention;AIDS/HIV problem;Area;base;California;career;Centers for Disease Control and Prevention (U.S.);Communities;Conflict (Psychology);contextual factors;Contracts;Data;Development;Discrimination;Doctor of Philosophy;Education;efficacy testing;Epidemic;Epidemiology;Evidence based intervention;experience;Funding Mechanisms;Future;Gender;Goals;Health;health disparity;Health Promotion;high risk;HIV;HIV risk;housing instability;Incidence;Income;International;Intervention;K-Series Research Career Programs;Knowledge;Lebanon;Low Prevalence;Mental Depression;Mental Health;Mentorship;Middle East;Northern Africa;Population;Populations at Risk;Prevalence;Prevention;Preventive Intervention;programs;Public Health;public health relevance;Research;Research Personnel;resilience;Resources;response;Risk;Risk Behaviors;Risk Reduction;Sampling;San Francisco;sex;Sexual Health;sexual minority;Sexuality;skills;social;Social Sciences;social stigma;Social support;Staging;successful intervention;Testing;therapy development;Training;transgender;transmission process;United States;Universities;Violence;Woman;Work;</t>
  </si>
  <si>
    <t>PUBLIC HEALTH RELEVANCE: This study is important to public health because it will provide critical information about how to access and engage high-risk and highly stigmatized sexual minority populations such as transgender women. Because rates of HIV transmission and mental health problems are high among transwomen, it is crucial to examine this population's sexual and mental health. Transwomen are typically marginalized; they experience high rates of gender-related abuse, unstable housing, depression, and HIV risk behavior including the engagement in sex work for income. As public health researchers, we have only begun to understand which components of existing interventions might be efficacious for risk reduction and health promotion among transwomen in the U.S. This study will investigate the cultural acceptability and feasibility of an adapted HIV prevention intervention that was originally developed for use among transwomen in the U.S. A better understanding of culturally acceptable and feasible strategies for addressing sexual and mental health among transwomen in Lebanon will aid the development and adaptation of health-promoting approaches in other international settings.</t>
  </si>
  <si>
    <t>29-JUL-2014</t>
  </si>
  <si>
    <t>PA-11-190</t>
  </si>
  <si>
    <t>K01</t>
  </si>
  <si>
    <t>102142</t>
  </si>
  <si>
    <t>GORDON, CHRISTOPHER M</t>
  </si>
  <si>
    <t>31-JUL-2018</t>
  </si>
  <si>
    <t>KAPLAN, RACHEL L.</t>
  </si>
  <si>
    <t>OBSTETRICS &amp; GYNECOLOGY</t>
  </si>
  <si>
    <t>942514985</t>
  </si>
  <si>
    <t>PROJECT SUMMARY/ABSTRACTIntimate partner violence (IPV) is a severe public health problem that can lead to physical injury, mental healthissues, economic impairment, HIV/STI transmission risk, and even homicide. Existing literature suggests thattransgender (trans, i.e. individuals whose gender is different from their sex assigned at birth) people are heavilyimpacted by IPV, with lifetime prevalence estimates ranging from 18% to 47%, and are at heightened risk of IPVas compared to non-transgender individuals. IPV against trans individuals often takes on unique dimensionsbecause trans individuals face unique vulnerabilities for IPV. For instance, abusers may undermine a transpartner's self esteem by attacking their gender identity, or blackmail them by threatening to “out” their identity toothers. Additionally, trans people are likely to face discrimination and abuse when seeking help from domesticviolence shelters, police, or medical providers. Research on IPV among trans individuals is at a nascent stage,and all studies have estimated the prevalence of IPV using brief measures of lifetime IPV that were developedand validated with non-transgender heterosexual populations that do not consider unique forms of trans-specificIPV or only make ad-hoc adjustments. There is an urgent need to better understand the context of, risks for, andhealth impact of IPV in transgender populations. The proposed study aims to advance our understanding of theunique experience and impact of IPV across diverse trans communities and to develop the first scale validatedto measure the experience of IPV among trans individuals. This study will first use qualitative methods to describethe forms of IPV that occur in the relationships of trans men and women, better understand typologies of IPV inthese populations, and to examine perceived links between IPV, discrimination and oppression, and negativehealth outcomes. In the quantitative phase, these data will be used to inform an online survey administered to700 trans adults (350 trans men and 350 trans women) to quantify associations between IPV and demographicfactors, partner characteristics, stigma and discrimination. The study will also examine how IPV is associatedwith negative physical and mental health outcomes, and to psychometrically validate a trans-specific IPV scale.Elucidating the unique form, function, and impact of IPV among different populations of transgender individualswill inform clinical practice and lead to future trans-competent violence prevention and response interventions.The development of a validated IPV scale will substantially advance IPV research in trans communities, whichhas relied on pre-existing measures of IPV designed for cisgender, heterosexual populations. This deliverablewill also be immediately useful for IPV screening of trans individuals in primary care, mental health, and violenceresponse provider settings.</t>
  </si>
  <si>
    <t>Adult;Affect;Alcohol consumption;Alcohol or Other Drugs use;base;Birth;Bisexual;Characteristics;Chest;cisgender;clinical practice;Clothing;Communities;Conflict (Psychology);Data;Demographic Factors;Dependence;design;Development;Dimensions;Discrimination;Domestic Violence;Economics;Ethnic Origin;experience;Face;Female;Feminine;Focus Groups;Future;Gays;Gender;gender expression;Gender Identity;gender minority;Gender Role;Group Interviews;Health;health care availability;help-seeking behavior;Heterosexuals;HIV/STD;Homicide;Impairment;Individual;Injury;Institute of Medicine (U.S.);Intervention;intimate partner violence;Lead;Lesbian;Link;Literature;male;Masculine;Measures;Mediation;Medical;men;Mental Health;Methods;Outcome;partner violence;perpetrators;Phase;physical conditioning;Police;Population;Prevalence;Primary Health Care;Prosthesis;Provider;Psychometrics;Public Health;Qualitative Methods;Race;Research;response;Risk;Role;Safe Sex;same-sex partnership;Sampling;screening;self esteem;sex;Sexual and Gender Minorities;Shelter facility;social stigma;stressor;Surveys;Tobacco use;tool;transfeminine;transgender;transgender men;transgender women;transmasculine;transmission process;transphobia;Typology;United States National Institutes of Health;Violence;violence prevention;Woman;</t>
  </si>
  <si>
    <t>PROJECT NARRATIVE Transgender individuals (i.e. individuals whose gender is different from their sex assigned at birth) are disproportionately affected by intimate partner violence (IPV) due to unique vulnerabilities faced by this group. Through focus groups and interviews (qualitative phase) followed by an online survey (quantitative phase), this study will investigate the unique context of, risks for, and health impact of IPV in transgender populations, as well as validate the first IPV scale for use in transgender populations. Elucidating the unique form, function, and impact of IPV among different populations of transgender individuals will inform research and clinical practice and lead to future trans-competent violence prevention and response interventions.</t>
  </si>
  <si>
    <t>14-AUG-2019</t>
  </si>
  <si>
    <t>097234</t>
  </si>
  <si>
    <t>31-AUG-2021</t>
  </si>
  <si>
    <t xml:space="preserve">STEPHENSON, ROB B. </t>
  </si>
  <si>
    <t xml:space="preserve">PEITZMEIER, SARAH </t>
  </si>
  <si>
    <t>Behavioral and Social Science;Brain Disorders;Clinical Research;Clinical Trials and Supportive Activities;Depression;Mental Health;Mental Illness;Mind and Body;Pediatric;Prevention</t>
  </si>
  <si>
    <t xml:space="preserve">﻿   DESCRIPTION (provided by applicant): Efforts to prevent mental health problems in youths have advanced greatly in recent years. However, these advances have not reduced rates of youth mental illness on a large scale. Thus, a great need exists for novel, scalable, and low-cost approaches to preventing mental health problems in youth. Ideally, such approaches would be mechanism-targeted: that is, they would act on specific developmental processes that underlie psychological disorders. The proposed research aims to address this need by testing whether a single-session intervention teaching incremental theories of personality, or the belief that one's personality is malleable-as opposed to entity theories of personality, or the belief that one's personality is fixed and unchangeable-can strengthen recovery from social stress and prevent the development of anxiety and depression during early adolescence. Compared to incremental theories, entity theories of personal traits have demonstrated cross- sectional and prospective relations with greater anxiety and depression in youths. Further, a single-session incremental personality theories intervention reduced the development of depressive symptoms in a community sample of adolescents, supporting these theories as powerful prevention targets, even when taught in a brief format. Specifically, in line with the NIMH's experimental therapeutics approach to testing novel interventions, this project has two aims. Aim 1 is to evaluate the effect of the implicit theories intervention on two candidate mechanisms of action, or targets, identified by prior research: arousal (measure via physiological reactivity following social stress, as well as self-reported anxiety) and loss (here, perceived loss of behavioral control) in youths 12-15 years of age. Following a lab-based social stress induction, this study will test whether participants receiving the intervention (N=45) will recover from stress more rapidly, as indicated by measures of arousal (heart rate variability; respiratory sinus arrhythmia;galvanic skin response) and self- reported loss (increased perceived control at post-intervention or 3-, 6-, and 9-month follow-ups) compared to participants who do not receive the intervention (n =45). Aim 2 is to evaluate the effects of the single-session incremental theories intervention on anxiety and depression over nine months. This study will test whether the intervention, compared to a control protocol, prevents the development of anxiety and depression; it will also assess whether this change is a direct result of shifts in the two aforementioned targets (arousal; loss). More positive trajectories in anxiety and depression are predicted for youth receiving the intervention, relative to those in the control condition, over time. The study will aso test whether these trajectories are mediated by changes in the targets described in Aim 1. Finally, regardless of outcomes for Aims 1 and 2, baseline, postintervention, and 9-month measures will be used to map longitudinal links among implicit theories, interventions targeting those theories, social stress recovery, and youth anxiety and depression. Findings may suggest a cost-effective, scalable intervention that improves youth resiliency and mental health.      </t>
  </si>
  <si>
    <t>15 year old;Address;Adolescent;Age;Anxiety;Arousal;Arousal and Regulatory Systems;base;Behavior Control;Belief;BLase;brief intervention;Child;child depression;childhood anxiety;Clinical Sciences;Communities;community setting;coping;cost;cost effective;Data;depressive symptoms;design;Development;Developmental Process;developmental psychology;Disease;early adolescence;Educational process of instructing;Effectiveness;Evaluation;experience;Galvanic Skin Response;Goals;heart rate variability;Human;improved;indexing;Intervention;intervention effect;Intervention Studies;Investigational Therapies;Link;Maps;Measures;Mediating;Mental Depression;Mental disorders;Mental Health;Methods;Minority;Negative Valence;novel;novel strategies;Outcome;Participant;Patient Self-Report;Personality;Physiological;Physiology;post intervention;prevent;Prevention;Prevention program;Preventive;prospective;Protocols documentation;psychologic;Public Health;public health relevance;Recovery;Research;Research Domain Criteria;Research Priority;respiratory;Sampling;Sinus Arrhythmia;social;social stress;Staging;Stress;Syndrome;System;Testing;theories;Time;trait;Treatment Cost;Work;Youth;</t>
  </si>
  <si>
    <t>PUBLIC HEALTH RELEVANCE: The goal of the project is to test whether a single-session intervention teaching incremental theories of personality, or the belief that one's personality is malleable, can strengthen recovery from social stress and prevent the development of anxiety and depression during early adolescence. The study will also test the intervention's effects on two candidate mechanisms of action, or targets, which might explain its impact on subsequent change in internalizing problems. Results may suggest a scalable, cost-effective approach to improving youths' coping capacities and preventing adverse mental health outcomes over time.</t>
  </si>
  <si>
    <t>27-JUL-2016</t>
  </si>
  <si>
    <t>108280</t>
  </si>
  <si>
    <t>Special Emphasis Panel (ZMH1-ERB-B (05))</t>
  </si>
  <si>
    <t>SCHLEIDER, JESSICA LEE</t>
  </si>
  <si>
    <t>082359691</t>
  </si>
  <si>
    <t>3212901</t>
  </si>
  <si>
    <t>HARVARD UNIVERSITY</t>
  </si>
  <si>
    <t>CAMBRIDGE</t>
  </si>
  <si>
    <t>02138-5319</t>
  </si>
  <si>
    <t>Behavioral and Social Science;Clinical Research;Clinical Trials;Comparative Effectiveness Research;Drug Abuse (NIDA only);Mental Health;Pediatric;Substance Abuse</t>
  </si>
  <si>
    <t xml:space="preserve">  DESCRIPTION (provided by applicant): Despite the well-documented health disparities faced by minority youth, the field of substance abuse treatment has only addressed the most elementary questions regarding the effectiveness of evidence-based treatments (EBTs) with minority youth. Similarly, randomized controlled trials testing EBTs for substance-abusing youth are dominated (numerically speaking) by males. While several recent reviews have indicated that a number of EBTs are effective with substance abusing, juvenile justice-involved, ethnic minority, adolescent populations, many important questions remain unanswered. Fundamentally, the question of whether standard EBTs are equally beneficial for ethnic minority and European American, as well as male and female, youth remains unanswered because most studies lack adequate statistical power to detect moderator effects (ethnicity by treatment interaction). Further, we know even less about how EBTs achieve their effects among girls and minority populations-largely because researchers have only begun using sophisticated methods to examine mediators of treatment effects irrespective of gender/ethnicity-and have not begun to address whether different treatment mechanisms operate in different ethnicities and genders. Curran et al. (2008) introduced a promising method for integrating data from numerous longitudinal studies, even when the observed outcome measures for a construct vary across studies, Integrative Data Analysis (IDA). We propose to use IDA methods to link measures of substance use, delinquency, and family functioning from 10 longitudinal randomized controlled trials testing the effectiveness of Multidimensional Family Therapy (MDFT), an empirically-supported treatment for substance abusing, juvenile-justice- involved youth (Liddle, 2009) and address the following specific aims: Aim 1: Intervention Effectiveness - To compare the clinical outcomes of MDFT to those achieved by comparison treatments across 10 randomized controlled trials. Aim 2: Moderating Effects - To examine the extent to which ethnicity and gender moderate intervention outcomes. Aim 3: Mechanisms of Action - To identify the mechanisms through which MDFT achieves its effects in male and female youth from diverse ethnic backgrounds. Measures of substance use, delinquency, and family functioning from a total of 1532 youth collected across 10 RCTs will be analyzed. State-of-the-art statistical techniques, including latent growth curve modeling (LGM) and mediation tests using the asymptotic bootstrap confidence interval method, will be used to examine study hypotheses.    PUBLIC HEALTH RELEVANCE: The proposed study uses an innovative data analytic methodology, Integrative Data Analysis (IDA; Curran et al., 2008), to combine data from 10 randomized controlled trials examining the effectiveness of Multidimensional Family Therapy (MDFT) as an evidence-based treatment for adolescent substance abuse and delinquency. Although MDFT developers have been concerned with gender and cultural issues as they pertain to treatment effectiveness (Dakof, 2000; Jackson-Gilfort et al., 2001; Rodriguez et al., 2007), previous single-study MDFT trials have been limited in the statistical power they have to test meaningful research questions regarding MDFT's comparative effectiveness with minority and White, non-Latino, as well as male and female, youth. The study has the potential to yield new knowledge about MDFTs effectiveness with female and ethnic minority youth and extend IDA methodology for clinical research.      </t>
  </si>
  <si>
    <t>Address;Adolescent;adolescent drug use;adolescent substance abuse;African American;Alcohol or Other Drugs use;American;base;Behavior;Clinical;Clinical Research;comparative effectiveness;Confidence Intervals;Data;Data Analyses;Effectiveness;Effectiveness of Interventions;Enrollment;ethnic difference;ethnic minority population;Ethnic Origin;European;Evidence based treatment;Family;Family psychotherapy;Female;Female Adolescents;Frequencies;Gender;girls;Growth;health disparity;improved;innovation;Intervention;Justice;Knowledge;Latino;Link;Longitudinal Studies;male;Male Adolescents;Measurement;Measures;Mediating;Mediation;Mediator of activation protein;Meta-Analysis;Methodology;Methods;Minority;Modeling;Outcome;Outcome Measure;Parenting behavior;Population;public health relevance;Randomized Controlled Trials;Research;Research Design;Research Personnel;response;Severities;Sex Characteristics;Statistical Methods;Substance abuse problem;substance abuse treatment;Techniques;Testing;theories;treatment effect;Treatment Effectiveness;Youth;</t>
  </si>
  <si>
    <t>The proposed study uses an innovative data analytic methodology, Integrative Data Analysis (IDA; Curran et al., 2008), to combine data from 10 randomized controlled trials examining the effectiveness of Multidimensional Family Therapy (MDFT) as an evidence-based treatment for adolescent substance abuse and delinquency. Although MDFT developers have been concerned with gender and cultural issues as they pertain to treatment effectiveness (Dakof, 2000; Jackson-Gilfort et al., 2001; Rodriguez et al., 2007), previous single-study MDFT trials have been limited in the statistical power they have to test meaningful research questions regarding MDFT's comparative effectiveness with minority and White, non-Latino, as well as male and female, youth. The study has the potential to yield new knowledge about MDFTs effectiveness with female and ethnic minority youth and extend IDA methodology for clinical research.</t>
  </si>
  <si>
    <t>16-MAR-2012</t>
  </si>
  <si>
    <t>PA-08-263</t>
  </si>
  <si>
    <t>029089</t>
  </si>
  <si>
    <t>1-APR-2010</t>
  </si>
  <si>
    <t>31-MAR-2014</t>
  </si>
  <si>
    <t xml:space="preserve">Risk, Prevention and Intervention for Addictions Study Section (RPIA) </t>
  </si>
  <si>
    <t xml:space="preserve">HENDERSON, CRAIG E. </t>
  </si>
  <si>
    <t>GREENBAUM, PAUL E</t>
  </si>
  <si>
    <t>074179896</t>
  </si>
  <si>
    <t>7223001</t>
  </si>
  <si>
    <t>SAM HOUSTON STATE UNIVERSITY</t>
  </si>
  <si>
    <t>HUNTSVILLE</t>
  </si>
  <si>
    <t>77341-2448</t>
  </si>
  <si>
    <t>Behavioral and Social Science;Clinical Research</t>
  </si>
  <si>
    <t xml:space="preserve">   DESCRIPTION (provided by applicant): This study will illuminate the capabilities of the human larynx and inform the relationship between voice production and perception. The long term goal of this research is to inform and provide new directions for transgender (TG) voice care, thereby improving the lives of TG people who feel their voice is a great obstacle to living as their preferred gender. Incomplete gender presentation can negatively impact the TG individual's job opportunities, relationships, and social acceptance. Results of this project will advance an aspect of gender transition vital to being accepted as one's preferred gender and living a successful, healthy life.  Knowledge about how the male-to-female transgender (MTF) larynx overcomes constraints of biological anatomy, as well as which voice parameters contribute to listener's perceptions of gender, can be used to develop standards for voice care and feminization therapy. Like voice therapy for other populations, TG voice therapy should be grounded in knowledge of the vocal mechanism of the speaker. It should not resort, as it currently does, to establishing acoustic goals based exclusively on differences between normative values of two gender groups and assumed gender perception boundaries. Contrary to current thinking in TG voice care, preliminary data indicate that MTF voice is not necessarily an average of male and female voice, and there are physiological distinctions between passing and not-passing MTF speakers. These data suggest that clinical decision making should consider that MTF speakers who pass as female use a glottal management technique unique from non-transgender males or females.  Airflow and EGG signals will be simultaneously collected and aligned to determine how the passing MTF voice achieves a female-sounding voice with biologically male anatomy. For the first time, the mechanism of passing MTF voice physiology will be quantified in detail and compared to non-TG male and female speakers, as well as MTF speakers who do not achieve female-sounding voice.  One hundred listeners, from within and outside of the Gay-Lesbian-Bisexual-Transgender (LGBT) community, will judge the gender of reiterative speech samples from male, female, and male-to-female (MTF) speakers. The listener's perceptions will be used first to divide the MTF group into those who pass as female and those who do not so that glottal measures from these two groups can be compared to each other, and to the non-transgender groups of males and females. The perceptual ratings then will be entered in a regression model with other acoustic, articulatory and prosodic variables (Mean F0, spectral envelope decay, formants 1-3, intonation shifts) in order to develop a comprehensive model useful for predicting confidence that a speaker will be perceived as their preferred gender. It is hypothesized that while F0 is a strong predictor, airflow and glottalclosure parameters will improve the fit of the model for gender perception.      </t>
  </si>
  <si>
    <t>Acoustics;Anatomy;base;Behavior;Biological;Bisexual;Caring;Characteristics;Clinical;clinical decision-making;clinical practice;Clinical Practice Guideline;Clinical Protocols;Communication;Communities;Complement;Complex;Data;Discrimination;Face;Female;Feminization;Frequencies;Gays;Gender;glottis;Goals;Guidelines;Human;improved;Individual;Joints;Knowledge;Larynx;Learning;Lesbian;Life;Literature;male;Measures;men's group;Modeling;Modification;Movement;Occupations;Pattern;Perception;Phase;Phonation;Physiological;Physiology;Population;Process;Production;Protocols documentation;Relative (related person);Research;Resort;Sampling;Signal Transduction;social;Societies;Sorbus;sound;Speech;Speed;System;Techniques;Testing;therapy development;Thinking;Time;transgender;vocal cord;Voice;Voice Quality;voice therapy;</t>
  </si>
  <si>
    <t>This study will illuminate the capabilities of the human larynx and determine the relationship between speech measures (glottal movement, acoustic, aerodynamic, prosodic) and gender perception. Knowledge of vocal fold physiology is fundamental for developing clinical practice guidelines for a population habitually using a male vocal mechanism to produce a female-sounding voice. The production and perception results of this study will inform voice therapy clinical protocols for transgender speakers who face discrimination when their voice does not match their preferred gender presentation, which limits their ability to contribute to society and live healthy, safe lives.</t>
  </si>
  <si>
    <t>NIDCD</t>
  </si>
  <si>
    <t>PAR-10-055</t>
  </si>
  <si>
    <t>DC</t>
  </si>
  <si>
    <t>012134</t>
  </si>
  <si>
    <t>SHEKIM, LANA O</t>
  </si>
  <si>
    <t>26-SEP-2012</t>
  </si>
  <si>
    <t>31-AUG-2016</t>
  </si>
  <si>
    <t xml:space="preserve">Communication Disorders Review Committee (CDRC) </t>
  </si>
  <si>
    <t>HANCOCK, ADRIENNE B</t>
  </si>
  <si>
    <t>043990498</t>
  </si>
  <si>
    <t>2863301</t>
  </si>
  <si>
    <t>GEORGE WASHINGTON UNIVERSITY</t>
  </si>
  <si>
    <t>WASHINGTON</t>
  </si>
  <si>
    <t>20052-0042</t>
  </si>
  <si>
    <t>1-SEP-2013</t>
  </si>
  <si>
    <t>173</t>
  </si>
  <si>
    <t>Suicide and suicidal behavior are among the leading causes of adolescent mortality and morbidity. Themajority of suicide decedents have their last clinical contact with primary care yet we lack empirically supportedtreatment strategies that can be deployed by primary care clinicians when youth present with acute suiciderisk. In previous work, we developed a smartphone safety planning app, BRITE for psychiatrically hospitalizedsuicidal adolescents that supported an intervention that reduced suicidal events post-discharge by 42%. Wenow plan to adapt BRITE to use in primary care by providing step-by-step guidance to a primary care-based,non-mental health clinician on how to develop a safety plan for a suicidal adolescent and load this plan on theadolescent patient’s smartphone. This intervention, Guide2BRITE (G2B) aims to enhance the capability ofprimary care clinicians to effectively assess and manage acute suicide risk in adolescents via a guided 30minute intervention to develop a safety plan with the adolescent and parent. During Phase 1, we will developand pre-test components of the app-supported intervention including the virtual treatment manual, userinterface, and presentation of step-by-step instructions and resulting safety plan with 5 primary care clinicians,adolescent patients and their parents to test the prototype, followed by an open pilot of 15 cases. For Phase 2,G2B will be further revised, and then tested using a randomized stepped wedge design in 6 pediatric primarycare practices to pilot test the effectiveness of G2B among 100 adolescents aged 12.0-17.11 years who screenpositive for acute suicide risk on the PHQ-9 item 9 (&gt;2). G2B will provide the clinician with step-by-stepinstructions to populate the adolescents’ app with a personally tailored safety plan, including the followingcomponents: (1) assessing lethality and restricting access to means; (2) identifying likely triggers of suicidaland self-harm urges and how to avoid and cope with them; (3) teaching skills via modeling and role-play tocope with suicidal and self-harm urges (emotion regulation, crisis survival skills, and utilizing existing socialsupports); and (4) identifying professional resources to access in a crisis should others means of coping fail. Atthe end of the intervention session, we will determine the immediate impact of G2B on adolescent distress andsuicidal urges and clinician referrals to hospitals and emergency departments. Further, we will evaluate 6-, 12-,and 24-week outcomes from multiple perspectives: (1) the primary outcomes, trajectory of suicidal ideation,behavior, and non-suicidal self-injury; (2) provider, patient, and parent rating of usability and satisfaction; and(3) impact on firearms storage, impairment, visit cost, and use of emergency and hospital services. Sincesuicidal ideation is one of the strongest predictors of eventual suicidal behavior, the development of an easilydisseminated, low-cost intervention that could be used by non-specialty mental health could have a largeimpact on the population burden of adolescent suicidal behavior. Moreover, G2B is innovative, as it is the firstsuicide prevention app geared to guide clinicians’ interventions.</t>
  </si>
  <si>
    <t>11 year old;Accident and Emergency department;Acute;Adolescent;adolescent patient;aged;base;Behavior;brief intervention;Case Series;Cellular Phone;Childhood;Clinical;clinically significant;Computer software;coping;cost;Data;Depressed mood;design;Development;Diagnostic;Discipline of Nursing;Distress;distress tolerance;Educational process of instructing;Effectiveness;efficacy testing;Emergency medical service;emotion regulation;Emotional;Event;experience;Feedback;Feeling suicidal;Firearms;follow-up;Goals;Healthcare Systems;high risk;Hospital Departments;hospital services;Impairment;improved;improved outcome;Incidence;innovation;Instruction;Intervention;intervention cost;Interview;Link;Manuals;Measures;medical specialties;Mental Depression;Mental Health;Methods;mobile application;Modeling;Morbidity - disease rate;mortality;non-suicidal self injury;Nurse Practitioners;Nurses;Outcome;Parents;Patients;Phase;Physician Assistants;Physicians;Play;Population;Prevention strategy;Primary Health Care;primary outcome;prototype;Provider;psychosocial;Randomized;Recurrence;Reporting;Resources;Role;Safety;Sampling;satisfaction;screening;Self-Injurious Behavior;service utilization;Services;Site;skills;Social support;suicidal;suicidal adolescent;suicidal behavior;suicidal risk;Suicide;Suicide attempt;Suicide prevention;Testing;Thermometers;Thinking;Time;treatment as usual;treatment services;treatment strategy;Triage;usability;virtual;Visit;Work;Youth;</t>
  </si>
  <si>
    <t>PAR-16-354</t>
  </si>
  <si>
    <t>115838</t>
  </si>
  <si>
    <t>Special Emphasis Panel (ZMH1-ERB-K)</t>
  </si>
  <si>
    <t>STEPP, STEPHANIE D</t>
  </si>
  <si>
    <t>Behavioral and Social Science;Clinical Research;HIV/AIDS;Infectious Diseases;Prevention</t>
  </si>
  <si>
    <t xml:space="preserve">   DESCRIPTION (provided by applicant): The Centers for Disease Control and Prevention (CDC) estimate that there are more than one million people living with Human Immunodeficiency Virus (HIV) in the United States and each year there are approximately 56,300 new cases of infection. Transgender women (TGW), (i.e.,biological men who live their lives as women), are at particularly high risk for HIV infection and HIV-related morbidity and mortality. Various studies indicate that TGW have the highest HIV prevalence rates of all gender and sexual minorities. However, research also shows that they are less likely to enter and be retained in HIV care. Consequently, they are more likely to suffer adverse health outcomes and infect others. Even once they know they are HIV-infected, TGW are also less likely than other sexual minorities, such as men who have sex with men and bisexual men, to enter HIV care. Historically, research on gender and sexual minorities has included the transgender population in the collective group of lesbian, gay, and bisexual persons. Recent recommendations by the Office of National AIDS Policy and the Institute of Medicine have cautioned that this combined approach has obscured the differences that exist within and between these populations, and has resulted in inadequate examination of the health needs and experiences of the transgender population. This study aims to address these concerns and will explore TGW's experiences of HIV health care utilization (seeking, entering, or being retained in care). Specifically, it will examine the role of social network factors on TGW's decisions to enter into and remain engaged in care and describe the social dynamics (processes) that undergird their use of HIV care throughout the course of their illness. Given the paucity of research with this population, a grounded theory approach will be used to explore how social network norms influence TGW's decisions about when, where, how, and if to seek HIV care, as well as the patterns and pathways through which they enter, progress through, and are retained in care. HIV/AIDS is one of the most critical public health crises confronting gender and sexual minorities, especially TGW. Findings from this study will facilitate a better understanding of the social factors that determine HIV health care utilization behaviors (entry into and retention in care) of TGW following an HIV diagnosis. In addition, this study will contribute to the state of the science of transgender health by expanding knowledge of health care inequalities and transgender-specific health needs, two priority areas outlined by the Institute of Medicine. Results from this study wil provide a strong foundation for establishing a program of research in gender and sexual minority health. Importantly, the results will also be used to educate health care professionals about the needs of HIV infected TGW and to inform the development of strategies to facilitate HIV health care utilization in this population.      </t>
  </si>
  <si>
    <t>Acquired Immunodeficiency Syndrome;Address;Affect;African American;Applications Grants;Area;Behavior;behavioral health;Biological;Bisexual;career;Caring;Centers for Disease Control and Prevention (U.S.);Cessation of life;demographics;design;Development;Diagnosis;disorder prevention;Environmental Risk Factor;Event;experience;follow-up;Food;Foundations;Gays;Gender;General Population;Health;health care service utilization;Health Professional;Healthcare;Healthcare Systems;high risk;HIV;Housing;Human immunodeficiency virus test;improved;Individual;Inequality;Infection;Institute of Medicine (U.S.);interest;Intervention;Knowledge;Lesbian;Life;Literature;Medical;men;men who have sex with men;Methods;Minority;minority health;Modeling;Morbidity - disease rate;mortality;Newly Diagnosed;Outcome;Outpatients;Pathway interactions;Patients;Pattern;Persons;Policies;Population;Prevalence;Prevalence Study;Prevention;Process;programs;Prostitution;Provider;Psyche structure;Public Health;Recommendation;Reporting;Research;Research Personnel;Research Support;Role;Science;sexual minority;social;Social Development;Social Network;Solid;Structure;Support System;System;theories;Time;transgender;transmission process;United States;United States National Institutes of Health;Virus Diseases;Visit;Woman;</t>
  </si>
  <si>
    <t>Transgender women (biological men who identify as women) have the highest rates of HIV infection of all gender and sexual minorities, yet are less likely to receive HIV care. Relationships in the social support system and health care encounters within the treatment system influence an individual's decision to seek, enter, and remain engaged in care. This study will provide information that will help us understand the social patterns and pathways of HIV care use among TGW and will contribute to development of social and structural interventions to improve HIV care and health outcomes for transgender women with HIV.</t>
  </si>
  <si>
    <t>8-MAY-2014</t>
  </si>
  <si>
    <t>PA-11-112</t>
  </si>
  <si>
    <t>013864</t>
  </si>
  <si>
    <t>3-JUL-2012</t>
  </si>
  <si>
    <t>31-MAR-2015</t>
  </si>
  <si>
    <t>HINES, DANA DARNELL</t>
  </si>
  <si>
    <t>603007902</t>
  </si>
  <si>
    <t>577806</t>
  </si>
  <si>
    <t>INDIANA UNIV-PURDUE UNIV AT INDIANAPOLIS</t>
  </si>
  <si>
    <t>INDIANAPOLIS</t>
  </si>
  <si>
    <t>IN</t>
  </si>
  <si>
    <t>46202-2915</t>
  </si>
  <si>
    <t>PROJECT SUMMARYSexual minorities (lesbian, gay, bisexual and other non-heterosexual individuals) are at increased risk fornumerous adverse physical and mental health outcomes, including anxiety, depression, suicidality, substanceuse, HIV/AIDS, asthma, cardiovascular disease, and certain forms of cancer. Despite clear documentation andreplication of these health disparities, relatively little is known about their development from adolescence intoadulthood. Two theories primarily dominate the literature. Minority stress models describe unique life stressorsexperienced only by sexual minorities (e.g., victimization and discrimination based on sexual orientation) asprimary contributors to health disparities. Other models implicate both minority stress and normativepsychosocial processes together as contributors to health disparities. Some such normative processes include(1) psychological adjustment and characteristics (e.g., emotion regulation/dysregulation, substance useexpectancies), (2) disrupted social systems (e.g., family, peers, school), and (3) individual differences (e.g.,race/ethnicity, socioeconomic status, temperament). To date, most studies of both minority stress andnormative processes are limited by use of cross-sectional samples of primarily Caucasian adults. Althoughmuch has been learned from these studies, they do not permit analysis of emerging health disparities acrossdevelopment. Existing research is therefore limited in terms of both generalizability to diverse populations, andvalidity of directionality inferences between observed ‘predictors’ and ‘outcomes’. My long-term career goalsare to identify mechanisms leading to disparities among sexual minorities, with the goal of improvingtreatments for these disparities, and to develop screening tools to identify high-risk youth who would benefitfrom prevention programs. To reach this goal, in this project, I address existing limitations to the literature usinga prospective sample of individuals who were 14-19 years old at baseline and followed for over 4 years. Mygoal is to describe developmental trajectories and mechanisms of health disparity development for sexualminority youth compared with heterosexual youth across a 10-year developmental window spanning ages 14-23 years. Longitudinal outcomes include depression/anxiety, suicidality, delinquency, sleep, general physicalhealth, disordered eating and substance use. Developmental trajectories for these outcomes will be charted bygender and sexual orientation. Confirmatory analyses based on existing literature will be conducted to examinerelations between minority stress and adverse outcomes. Then, I will use machine learning to identify as-yetunknown predictors of adverse outcomes and health disparities and characterize any changes in predictionacross time. Finally, I will use state-of-the art intervening variable analyses (mediation, moderation) to evaluatelongitudinal mechanisms through which health disparities emerge. Findings should provide insight intomechanisms of disparity development and maintenance, informing prevention and intervention strategies.</t>
  </si>
  <si>
    <t>19 year old;Address;Adolescence;Adolescent;adolescent health;Adult;adverse outcome;Affect;Affective;Age;age group;Age-Years;AIDS/HIV problem;Alcohol or Other Drugs use;analytical method;Anxiety;Anxiety Disorders;Asthma;base;cancer risk;Cardiovascular Diseases;career;Caucasians;Characteristics;Child Rearing;Cognitive;Data;Data Set;Depression and Suicide;Development;Discrimination;Documentation;Eating Disorders;emerging adult;emotion dysregulation;emotion regulation;Ethnic Origin;Expectancy;experience;Family;Feeling hopeless;Gender;Goals;Health;health disparity;Heterosexuals;high risk;improved;Individual;Individual Differences;insight;Lead;Lesbian Gay Bisexual;Life;Literature;Longitudinal prospective study;Machine Learning;Maintenance;Malignant Neoplasms;Measures;Mediating;Mediation;Mediator of activation protein;Mental Depression;Mental Health;Methods;Minority;Modeling;Mood Disorders;Morbidity - disease rate;multilevel analysis;Nature;non-heterosexual;Ohio;Outcome;outcome prediction;Pathway interactions;peer;peer influence;peer victimization;Personal Satisfaction;physical conditioning;Population;Population Heterogeneity;Predictive Factor;Predictive Value;prevent;Prevention;Prevention program;Preventive Intervention;Process;prospective;Prospective Studies;Psyche structure;psychologic;Psychological adjustment;Psychopathology;psychosocial;Psychosocial Factor;Questionnaires;Race;racial diversity;racial minority;Randomized;Research;resilience;Resources;Risk;Risk Factors;Sampling;Schools;Screening procedure;Sex Orientation;sexual identity;sexual minority;sexual risk behavior;Sleep;Sleep disturbances;social;Socioeconomic Status;Specific qualifier value;Spirituality;Standardization;Statistical Methods;Stress;stressor;substance misuse;Suicide;System;Temperament;Testing;theories;Time;Training;treatment disparity;Victimization;Vulnerable Populations;young adult;Youth;</t>
  </si>
  <si>
    <t>PROJECT NARRATIVE Sexual minority youth (lesbian, gay, bisexual and other non-heterosexual individuals) experience wide-ranging disparities in mental and physical health that often persist into adulthood, yet little is known about development of these disparities. This research (1) examines developmental trajectories in mental and physical health outcomes from adolescence to young adulthood among sexual minority and matched heterosexual youth, (2) uses advanced statistical methods (e.g., machine learning) to identify hypothesized and currently unknown factors that predict disparities over time, and (3) elucidates pathways to adversity and resilience. Experiences of sexual minority and heterosexual youth and young adults will be compared to uncover possible differences in developmental experiences that lead to health disparities, with possible implications for prevention and intervention among a highly vulnerable population.</t>
  </si>
  <si>
    <t>29-APR-2019</t>
  </si>
  <si>
    <t>PA-18-671</t>
  </si>
  <si>
    <t>014052</t>
  </si>
  <si>
    <t>HUNTER, DELORIS</t>
  </si>
  <si>
    <t>30-APR-2021</t>
  </si>
  <si>
    <t>HAHN, HUNTER ANDRES</t>
  </si>
  <si>
    <t>832127323</t>
  </si>
  <si>
    <t>6218701</t>
  </si>
  <si>
    <t>OHIO STATE UNIVERSITY</t>
  </si>
  <si>
    <t>COLUMBUS</t>
  </si>
  <si>
    <t>OH</t>
  </si>
  <si>
    <t>43210-1016</t>
  </si>
  <si>
    <t>Behavioral and Social Science;Clinical Research;Health Disparities;Health Services;Infectious Diseases;Mental Health;Minority Health;Networking and Information Technology R&amp;D;Prevention;Sexual and Gender Minorities (SGM/LGBT*);Women's Health</t>
  </si>
  <si>
    <t>ABSTRACTTranswomen Connected: a mobile app delivered HIV prevention programDuring the past two decades, the HIV epidemic has severely impacted transgender women in the U.S. Analysisof 2013 national HIV testing data found that transgender persons have the highest HIV incidence of any riskgroup, and discrepancies between self-reported prevalence and HIV testing data indicate that many HIV-infectedtransgender women are not aware of their HIV status. Other public health conditions among transgender womeninclude discrimination-based physical and verbal abuse, poor mental health, alcohol and drug use, and unmethealth care needs resulting from limited healthcare access and negative healthcare encounters. These co-occurring problems additively increase sexual risk for transgender women. Despite these health disparities andhealth-care access barriers, the U.S. National HIV/AIDS Strategy notes that HIV prevention efforts specificallytargeting transgender populations have been minimal. In particular, there are no transgender-specific, evidence-based programs that address the unique prevention needs of transgender women, leaving practitioners toimplement programs designed for men who have sex with men (MSM) or cisgender women, even thoughtransgender women's experiences of gender abuse, gender transition, transactional sex and violence distinguishthem from most MSM and cisgender women. This project will address these gaps and fill an important productniche by testing the feasibility of creating Transwomen Connected: A Sexual Health Promotion Mobile Appdesigned to engage transgender women through a strengths-based approach to HIV prevention and sexualhealth that uses the power of social networks to identify and encourage protective factors that support the healthand well-being of transgender women. The mobile delivered intervention will expand the HIV preventionopportunities for transgender women by (1) providing organizations a cost-effective and easily implementableintervention option that is specifically designed for transgender women; (2) not requiring participants to attendmultiple face-to-face sessions in a physical location and instead support iterative intervention implementation atany time or place; (3) permit transgender women to anonymously view the program on their phone in privatesettings; and (4) offer practitioners and agencies with low levels of technological infrastructure an effective meansto connect with clients via mobile technology. The Phase I project, guided by an expert panel of transgenderwomen of color, will produce: extensive formative research; a complete curriculum outline developed using aholistic, sexual harm reduction and life skills framework based on Social Cognitive Theory, gender affirmation,social support, and resilience; a prototype mobile app with complete app design, architecture, and threeactivities; and a usability evaluation to determine usability, appeal, and impact on knowledge and attitudes.Phase II will complete development and conduct a multi-site randomized controlled trial to assess effectiveness.</t>
  </si>
  <si>
    <t>Address;Adult;AIDS prevention;AIDS/HIV problem;Alcohol consumption;Architecture;Attitude;base;Birth;Centers for Disease Control and Prevention (U.S.);cisgender;Client;Color;Communities;community organizations;condoms;cost;cost effective;Couples;Data;design;Development;Disadvantaged;Discrimination;Drug usage;Educational Curriculum;Effectiveness;Elements;Employment;Epidemic;Evaluation;evidence base;Evidence based program;expectation;experience;Face;Federal Government;Female;Fostering;Gender;Gender Identity;gender transition;General Population;handheld mobile device;Harm Reduction;Health;health care availability;health care service;health disparity;health organization;Health Promotion;Health Services Accessibility;Healthcare;high risk;Hispanics;HIV;HIV Infections;HIV risk;HIV/STD;HIV/STI intervention;Homicide;Hormonal;hormone therapy;Human immunodeficiency virus test;improved;Incidence;Individual;Infection;Institutes;interactive multimedia;interest;International;Intervention;Knowledge;Lead;Life;Life Cycle Stages;Location;male;men who have sex with men;Mental Depression;Mental Health;mHealth;minority health;mobile application;mobile computing;Operative Surgical Procedures;Outcome;Participant;Patient Self-Report;Persons;Phase;Phonation;physical abuse;Population;Population Research;Poverty;pre-exposure prophylaxis;Prevalence;Prevention;Prevention program;Privatization;Procedures;programs;Prostitution;prototype;Provider;Public Health;Publishing;Randomized Controlled Trials;Reporting;Research;Research Infrastructure;Research Personnel;Research Project Grants;resilience;response;Risk;rural area;Series;sex;Sexual and Gender Minorities;Sexual Health;Sexual Partners;Site;skills;Small Business Innovation Research Grant;social cognitive theory;Social Network;Social support;Social Work;Technology;Telephone;Testing;Time;transgender;transgender women;transphobia;United States;Universities;uptake;usability;Verbally abusive behavior;Violence;Woman;</t>
  </si>
  <si>
    <t>PUBLIC HEALTH NARRATIVE During the past two decades, the HIV epidemic has severely impacted transgender women in the United States. Transgender persons have the highest HIV incidence of any risk group, and discrepancies between self-reported prevalence and HIV testing data indicate that many HIV-infected transgender women are not aware of their HIV status. The U.S. National HIV/AIDS Strategy notes that transgender persons are at high risk for HIV infection and yet efforts specifically targeting transgender populations have been minimal. To date there are no evidence- based HIV prevention programs that have been developed for and evaluated with this population. To fill this unmet need this project will develop a mobile app delivered multimedia interactive HIV prevention and sexual health promotion program developed for transgender women that delivers the intervention as a series of interactive activities tailored to the user. All activities will include gender affirmation and opportunities for social support. When complete, the resulting product will provide a cost effective HIV/STI intervention that can be implemented with transgender women across diverse settings with fidelity, while increasing uptake and effective delivery by appealing to the target audience on their mobile device and ultimately reducing new HIV/STI infections among transgender women.</t>
  </si>
  <si>
    <t>21-SEP-2017</t>
  </si>
  <si>
    <t>RFA-MD-17-001</t>
  </si>
  <si>
    <t>R43</t>
  </si>
  <si>
    <t>012279</t>
  </si>
  <si>
    <t>Special Emphasis Panel (ZMD1-RP (O1))</t>
  </si>
  <si>
    <t xml:space="preserve">KUHN, TAMARA J </t>
  </si>
  <si>
    <t>KLEIN, CHARLES HOWARD;SUN, CHRISTINA JIAYI</t>
  </si>
  <si>
    <t>079336099</t>
  </si>
  <si>
    <t>10036415</t>
  </si>
  <si>
    <t>DFUSION, INC.</t>
  </si>
  <si>
    <t>Domestic For-Profits</t>
  </si>
  <si>
    <t>94612-1917</t>
  </si>
  <si>
    <t>SBIR-STTR</t>
  </si>
  <si>
    <t>Acquired Cognitive Impairment;Aging;Alzheimer's Disease;Alzheimer's Disease including Alzheimer's Disease Related Dementias (AD/ADRD);Basic Behavioral and Social Science;Behavioral and Social Science;Brain Disorders;Clinical Research;Dementia;Health Disparities;Mental Health;Minority Health;Neurodegenerative;Rehabilitation;Sexual and Gender Minorities (SGM/LGBT*)</t>
  </si>
  <si>
    <t>PROJECT SUMMARY Minority populations of all ages face varying degrees of stigma and minority stress. Little is known about the impact of stress associated with specific minority identity statuses on aging and on the risk for incident Mild Cognitive Impairment (MCI) and Alzheimer’s Disease (AD). Limited research to date indicates that social support appears to protect against the negative impact of stress on health. Few studies, however, have assessed the social support networks of minority populations in detail. The proposed study aims to fill this gap and determine what social support characteristics are associated with successful cognitive and emotional aging, the development of cognitive reserve and resilience, and reduced risk of incident MCI and AD. The investigation will be guided by the Convoy Model of Social Support (Antonucci et al., 1987, 2013). According to this model, social relationships or convoys are shaped over time and vary in their closeness, quality (e.g., positive, negative), function (e.g., aid, affect, affirmation, exchanges), and structure (e.g., size, composition, contact frequency, geographic proximity). Convoys are influenced by personal (age, gender) and situational (role demands, norms, values) characteristics that affect health. The proposed study will take a lifespan approach because cognitive reserve and resilience are shaped by experiences throughout life. Parallel to an ongoing, general population cohort, we propose to recruit a sample of minority adults stratified by age: young adulthood (25-¬34, n = 50), adulthood (35-¬44; n = 50), midlife (45-¬54, n = 50), older adulthood (55-¬64, n = 75), and later life (65 and above; n = 75). Recruiting participants across the lifespan will allow us to examine differences in stigma, social support and other resources, cognitive reserve and resilience between different generations. The specific aims of the proposed study are to: (1) Describe in detail the social support networks of minority (n = 300) and majority (n = 300) adults, and examine within-¬ and between-¬group differences in social support based on age, sex, gender identity and expression, sexual orientation, race/ethnicity, and socioeconomic status (SES); (2) Assess the relationship between stress related to gender, sexual orientation, racial/ethnic and age identity, and mental health and cognitive functioning; (3) Examine the role of social support, resources and wellbeing, in the development of cognitive reserve and resilience (i.e., how social support, resources and wellbeing may moderate the effects of aging and stigma on mental health and cognitive functioning);; and (4) Using existing data, explore differences between minority and majority participants in brain features and their relation to stress, social support, cognitive functioning and risk for incident MCI and AD. Findings will advance our understanding of the social support networks of minority and majority adults across the lifespan;; characterize the protective role of social support; and inform the development of future, tailored interventions to promote successful aging and reduce risk for incident MCI and AD.</t>
  </si>
  <si>
    <t>Acquired Immunodeficiency Syndrome;Adoption;Adult;Affect;Age;age effect;age group;Aging;Alzheimer's Disease;Anxiety;Assisted Reproductive Technology;Attitude;Awareness;base;Biological Neural Networks;Brain;Characteristics;Child;Chronic Disease;cisgender;Cognition;Cognitive;cognitive development;cognitive function;cognitive reserve;cohort;Competence;Data;Development;Dimensions;disability;Discrimination;Elderly;Emotional;Enrollment;Ethnic Origin;experience;Face;Family;Frequencies;Friends;Friendships;Future;Gays;Gender;Gender Identity;gender minority;General Population;Generations;Geography;Health;health disparity;Heterosexuals;Homophobia;Impaired cognition;Intervention;Investigation;Lesbian;Lesbian Gay Bisexual;Life;Longevity;Marriage;men;Mental Depression;Mental Health;middle age;mild cognitive impairment;Minority;Modeling;New York City;Outcome;Participant;Patient Recruitments;peer;Personal Satisfaction;Population;Prevention;protective factors;public health relevance;Race;racial and ethnic;recruit;Research;resilience;Resources;Respondent;Risk;Role;Sampling;sex;Sex Orientation;sexual minority;social;Social Characteristics;Social Network;social stigma;Social support;Societies;Socioeconomic Status;Stress;Structure;Time;transgender;Victimization;Well in self;Woman;young adult;</t>
  </si>
  <si>
    <t>PUBLIC HEALTH RELEVANCE: Health disparities among minority populations have, at least in part, been attributed to stigma and minority stress, while social support has been found to be protective. This study will identify what characteristics of social support are protective for whom in the prevention of cognitive decline and the promotion of resilience among minority and majority populations. Findings will inform future, tailored interventions to facilitate successful aging and reduce risk for incident Mild Cognitive Impairment (MCI) and Alzheimer’s Disease (AD).</t>
  </si>
  <si>
    <t>PA-15-042</t>
  </si>
  <si>
    <t>R56</t>
  </si>
  <si>
    <t>059643</t>
  </si>
  <si>
    <t>30-SEP-2018</t>
  </si>
  <si>
    <t>Behavioral and Social Science;Brain Disorders;Clinical Research;Clinical Trials and Supportive Activities;Depression;Health Disparities;Mental Health;Mental Illness;Pediatric;Prevention;Rural Health;Suicide;Suicide Prevention</t>
  </si>
  <si>
    <t>DESCRIPTION (provided by applicant): Reducing youth suicide has been named as a national priority for more than a decade, yet rates of youth suicide and suicide attempts have not declined. Suicide is still the 3rd leading cause of death for ages 10 - 24, and suicide rates i rural communities are more than double the national average. The public health impact of commonly applied strategies, such as gatekeeper training, is limited by minimal communication between adolescents and adults, minimal help seeking by adolescents, and by problems with accessibility and acceptability of mental health services. These barriers are particularly relevantin rural and underserved communities, which have 2-10 times higher youth suicide rates and lower utilization of available services. School-based, population oriented strategies overcome some of these limitations, but existing programs have yet to harness mobile communication devices to reach adolescents with preventive interventions directly, even beyond the school context. Text messaging is low-cost, effective tool for changing health behaviors, and is emerging as a powerful public health tool for influencing adolescent risk behavior. My application would be the first extension of mobile devices into population-based suicide prevention. The K23 career development award will provide me with the education and experience I need to become an independent investigator focused on developing and testing mobile-mediated public health interventions to reduce youth suicide. This proposal has three career development goals: Goal 1. Intervention Development. Learn the principles and practices needed to develop a safe, engaging, and effective mobile-mediated mental health intervention to target suicide risk and protective processes for youth. Goal 2. Prevention Trial Design. Gain expertise and collaborators to select and sequence prevention trial designs and research methods that are suitable for testing flexible electronically-delivered interventions for youth. Gol 3. mHealth Knowledge. Gain scientific and technical knowledge to collaborate effectively with technical experts and to assess opportunities for mHealth technologies in youth suicide prevention. I developed a research project that provides a framework for meeting these career development goals. My research objective is to develop and test the effects of a suicide preventive intervention delivered to adolescents via mobile technology. To achieve this objective my project has three aims: Aim 1. Development. Develop a safe and engaging text messaging intervention (Text4Strength) to strengthen adolescent's emotion self-regulation skills and resources. Aim 2. Field Testing. Assess the usage, usability, participant perceptions, and system operation of Text4Strength by conducting a field test of with 43 adolescents, and revise the intervention as needed. Aim 3. Pilot RCT. Assess the promise of Text4Strength. Assess the impact of Text4Strength on key proximate targets examining: skills in monitoring emotions, reducing escalation, and using adult relational resources to maintain emotional equilibrium. Secondarily, I will explore the intervention's impact on psychological distress, depressive symptoms, anxiety symptoms, and suicide ideation. The career development plan anchored by this research project will give me the skills, experiences, collaborators, and technical infrastructure that I need to be a leading expert in applying mobile technology to prevent youth suicide in rural communities. By putting an option-rich intervention in the hands of youth in ruralcommunities, the proposed research addresses NIMH priorities: Strategic Objective 3 to improve and personalize mental health interventions; Strategy 4.1 to test novel models and methods to bring mental health interventions to diverse groups, including rural communities.</t>
  </si>
  <si>
    <t>Address;Administrator;Adolescent;Adolescent Risk Behavior;Adult;Age;Algorithms;anxiety symptoms;base;Car Phone;career development;Cause of Death;Communication;communication device;Communities;computer human interaction;Computer software;coping;cost;cost effective;Data;depressive symptoms;Development;Development Plans;Distal;Education;Educational process of instructing;efficacy trial;Emotional;emotional distress;Emotions;Equilibrium;experience;Feeling suicidal;field study;flexibility;follow-up;Gatekeeping;Goals;handheld mobile device;Health;Health behavior change;help-seeking behavior;high school;High School Student;improved;Individual;Informal Social Control;Intervention;K-Series Research Career Programs;Knowledge;Learning;Measures;Mediating;Mediator of activation protein;meetings;Mental Health;Mental Health Services;Methods;mHealth;mobile computing;Modeling;Monitor;Names;National Institute of Mental Health;novel;operation;Parents;Participant;Pathway interactions;Patient Self-Report;peer;Penetration;Perception;Population;population based;prevent;Prevention;Prevention program;Prevention trial;Preventive Intervention;Process;programs;Protocols documentation;psychological distress;psychological symptom;Public Health;public health intervention;reducing suicide;Research;Research Infrastructure;Research Methodology;Research Personnel;Research Project Grants;Resources;Risk;Risk Factors;Rural;Rural Community;Safety;Schools;Services;Shapes;skills;Source;standardize measure;stressor;Students;suicidal;suicidal behavior;suicidal risk;Suicide;Suicide attempt;Suicide prevention;suicide rate;Symptoms;System;Technology;Testing;Text;therapy development;Time;tool;Training;trial design;universal prevention;usability;Weather;Work;Youth;</t>
  </si>
  <si>
    <t>PUBLIC HEALTH RELEVANCE: Consistent with the 2012 National Strategy for Suicide Prevention, this project takes a novel public health approach to the problem of youth suicide in rural communities. The proposed career development plan will launch a program of research to develop, test, and disseminate a suicide preventive intervention delivered to adolescents via mobile technology. The proposed program of research responds to NIMH Strategic Objective 3 to improve and personalize mental health interventions, and Strategy 4.1 to test novel models and methods to bring mental health interventions to diverse groups, including rural communities.</t>
  </si>
  <si>
    <t>11-MAY-2016</t>
  </si>
  <si>
    <t>PA-11-194</t>
  </si>
  <si>
    <t>101449</t>
  </si>
  <si>
    <t>PISANI, ANTHONY R</t>
  </si>
  <si>
    <t>1-JUN-2016</t>
  </si>
  <si>
    <t>Address;Age;Alcohol consumption;Alcohol or Other Drugs use;Area;barrier to care;base;Behavioral;care systems;career;Caring;Child Sexual Abuse;cigarette smoking;Clinical;Code;cohort;Coin;Collaborations;Collection;Communities;comparison group;Complex;Computerized Medical Record;Consultations;Data;data management;demographics;Diagnosis;Discrimination;Educational process of instructing;Elements;Emergency department visit;Environment;evidence base;expectation;experience;Formulation;Foundations;Frequencies;Future;Gender;Gender identity disorder;gender transition;Generations;Goals;Health;health administration;health care service utilization;health difference;health disparity;health equity;Health Personnel;health service use;Health Services;Health Services Research;Healthcare;Hepatitis C;Hepatitis C virus;High Prevalence;HIV;Homelessness;ICD-9;Immunization;implementation research;implementation science;improved;indexing;Individual;Influenza vaccination;Inpatients;Institute of Medicine (U.S.);Intervention;Intervention Studies;Interview;Joints;K-Series Research Career Programs;Knowledge;Learning;Lesbian Gay Bisexual;Malignant Neoplasms;Maps;Medical;Medical center;member;Mental disorders;Mental Health;Mentorship;Methodology;Minority;Mood Disorders;mortality;operation;Outcome;Outpatients;Patient Care;Patient Recruitments;Patients;physical conditioning;policy implication;Population;Postdoctoral Fellow;Prevalence;programs;Protocols documentation;Provider;Psyche structure;Public Health;Qualitative Research;Quality of Care;Recommendation;reducing suicide;Research;Research Infrastructure;Research Methodology;Research Personnel;respiratory;Risk Factors;Rural;Sampling;Sex Orientation;Site;skills;Smoking;social;Statistical Data Interpretation;Strategic Planning;stressor;Structure;suicidal risk;Suicide;System;Testing;therapy development;Time;Training;Training and Education;transgender;United States Agency for Healthcare Research and Quality;urban area;Veterans;Violence;Vulnerable Populations;Work;</t>
  </si>
  <si>
    <t>28-FEB-2018</t>
  </si>
  <si>
    <t>15-SEP-2018</t>
  </si>
  <si>
    <t>1-MAR-2018</t>
  </si>
  <si>
    <t>Project AbstractCurrent rates of prescription opioid misuse are rising to epidemic levels among adults. These rates may beeven higher among adolescents and young adults (AYA's), who have elevated levels of substance explorationand misuse during this precise developmental period. AYA who are exposed to opioids via legitimateprescriptions by age 18 are at increased risk for misuse after high school. However, there is a substantial gapin our knowledge of what factors might contribute to the development of misuse and related poor outcomes inthese high-risk youth. Identifying factors that convey risk for increasing opioid use and problematic use wouldinform AYA models of opioid abuse and inform the development of preventive interventions to modify risk inthe medical setting. Medical settings, where AYA's are exposed to opioids via legitimate prescription is aunique point of entry into opioid use, and a key setting in which to examine AYA outcomes. The proposedstudy will utilize a developmental model of the impact of opioid exposure by legitimate prescription during lateadolescence, with consideration for pain and psychological characteristics of the individual within thepsychosocial (family, peer, and educational and work context). Predictors and mechanisms of increasing opioiduse and problematic use will be examined over a two year time period. The central hypothesis is that AYA paincharacteristics will influence opioid use and problems over time, and that opioid availability will mediate thisassociation. Longitudinal models of opioid use and opioid problems will be tested in a sample of n=100 18-25year olds receiving opioid prescriptions for non-cancer pain in outpatient medical settings. Participants willreport on pain characteristics, opioid and other substance use and problems, peer factors, as well as paincatastrophizing and other pain related psychological factors. Objective data on dispensed opioid medicationswill be obtained from prescription drug monitoring databases. Daily associations between pain, paincatastrophizing, and opioid use will also be examined via electronic diary methodology. Determiningmechanisms and moderators of risk during this developmental transition will provide critical information for thedesign of interventions aimed at reducing opioid use disorders in at-risk AYA.</t>
  </si>
  <si>
    <t>18 year old;Abdominal Pain;Acute Pain;Address;Adolescence;Adolescent;Adolescent and Young Adult;Adult;Age;age group;Alcohol or Other Drugs use;Ankle;Attenuated;Award;Back Pain;base;care systems;Caring;Characteristics;Childhood;Chronic Headaches;chronic pain;chronic painful condition;Clinic;college;community setting;Data;Databases;Development;diaries;Drug Monitoring;drug of abuse;Drug Prescriptions;Education;Emergency Care;emerging adult;emerging adulthood;Employment;Enrollment;Epidemic;Ethnic Origin;experience;Exposure to;Family;Frequencies;Friends;Future;Goals;Health;high risk;high school;Individual;Injury;Intervention;Knowledge;Location;Measures;Mediating;Medical;Medical Records;medical specialties;Methodology;Modeling;Monitor;non-cancer pain;Opioid;opioid abuse;opioid exposure;opioid misuse;opioid use;opioid use disorder;Outcome;Outpatients;overdose death;overdose risk;Pain;pain catastrophizing;Pain management;pain outcome;parent project;Parents;Participant;Patient Self-Report;peer;Peer Group;Postoperative Pain;prescription opioid;prescription opioid misuse;prevent;Preventive Intervention;Primary Prevention;Procedures;prospective;Prospective Studies;protective factors;psychologic;psychological distress;Psychological Factors;psychosocial;Recording of previous events;recruit;Reporting;resilience;Risk;Risk Factors;Role;Sampling;Secondary Prevention;Self Efficacy;Sprain;Substance abuse problem;substance misuse;Sum;Symptoms;System;Testing;therapy design;Time;university student;Work;Youth;</t>
  </si>
  <si>
    <t>Project Narrative Current rates of prescription opioid misuse are rising to epidemic levels among adolescents and young adults. The proposed study will track trajectories of opioid use among adolescents prescribed opioids for noncancer pain in outpatient medical settings, with consideration for the role of adolescent pain characteristics as well as family and peer risk and protective factors.</t>
  </si>
  <si>
    <t>4-JUN-2019</t>
  </si>
  <si>
    <t>PA-18-591</t>
  </si>
  <si>
    <t>044778</t>
  </si>
  <si>
    <t>OBRIEN, MOIRA</t>
  </si>
  <si>
    <t>15-MAR-2018</t>
  </si>
  <si>
    <t>31-DEC-2022</t>
  </si>
  <si>
    <t>Special Emphasis Panel (ZRG1 (02))</t>
  </si>
  <si>
    <t xml:space="preserve">WILSON, ANNA CAMILLE </t>
  </si>
  <si>
    <t>FELDSTEIN EWING, SARAH W.</t>
  </si>
  <si>
    <t>Contraception/Reproduction;Infertility;Neurosciences;Pediatric</t>
  </si>
  <si>
    <t xml:space="preserve">  DESCRIPTION (provided by applicant):  In mammals, including humans, puberty onset reflects the activation of the neuroendocrine reproductive axis, and adolescence is therefore a time of key physiological, anatomical, behavioral, and psychological changes. However, the specific processes timing and governing the activation of the reproductive axis during pubertal maturation and earlier developmental stages remain poorly understood, as does the reason for earlier sexual maturation in girls than boys. Similarly, the reason for a higher incidence of precocious puberty in girls and delayed puberty in boys is unclear. Recently, the neuropeptide kisspeptin, and its receptor Kiss1R, have been implicated in pubertal development and adulthood fertility. Encoded by the Kiss1 gene, kisspeptin stimulates GnRH secretion in mammals, including humans, and mutations in Kiss1 or Kiss1R impair fertility and puberty in rodents and humans. Despite evidence linking hypothalamic Kiss1 neurons to the control of reproduction in adulthood, less attention has recently been given to the role of Kiss1 neurons prior to adulthood. The overall goal of this proposal is to investigate the role of the Kiss1 system in the sex-specific regulation the reproductive axis in postnatal and pubertal development. Aim I will investigate the importance of kisspeptin signaling in the secretion of gonadal steroids during the postnatal 'critical period', a process which directs sexual differentiation of the brain. Experiments in this aim will assess whether postnatal gonadal steroid secretion is impaired in mice lacking kisspeptin signaling, if kisspeptin treatment can induce gonadal steroid secretion in postnatal females, and whether Kiss1 neurons in specific brain nuclei are activated during postnatal gonadal steroid secretion. Aim II will explore the role of the Kiss1 system in key stages of pubertal maturation. Experiments in this aim will determine when and where (in the brain) Kiss1 neurons first become activated during peripubertal development, whether changes in Kiss1R comprise a key element of pubertal development, and whether acute, short-term blockade of central or peripheral kisspeptin signaling impairs puberty onset. Aim III will investigate the role of both gonadal hormones and non-gonadal factors in regulating Kiss1 neurons during peripubertal development. Experiments in this aim will analyze whether pubertal changes in hormone sensitivity of the reproductive axis reflect developmental changes in the sensitivity of Kiss1 neurons to hormone feedback, assess the timing of developmental changes in gonadal hormone-independent regulation of Kiss1 neurons in relation to puberty onset, and elucidate whether sex differences in peripubertal Kiss1 neurons are organized by hormones during early postnatal life. Overall, this proposal will provide a better understanding of how and when the reproductive axis is regulated during different critical stages of development, as well as where in the brain such regulation is specifically derived. This information could provide important insight into the mechanisms underlying hypogonadotropic hypogonadism, precious puberty, and delayed puberty.    </t>
  </si>
  <si>
    <t>Acute;Address;Adolescence;Adolescent;Adult;Age;Attention;Behavioral;Birth;boys;Brain;brain behavior;Brain region;Cell Nucleus;Cells;Circadian Rhythms;Complex;critical period;Cues;Delayed Puberty;Development;Developmental Process;Disease;Elements;Event;Feedback;Female;Fertility;Follicle Stimulating Hormone;Genes;girls;Goals;Gonadal Hormones;Gonadal Steroid Hormones;Gonadotropin Hormone Releasing Hormone;Hormonal;hormone sensitivity;Hormones;Human;Hypothalamic structure;Incidence;Infertility;insight;Kallmann Syndrome;kisspeptin;Klinefelter's Syndrome;Life;Lifting;Link;Location;Luteinizing Hormone;male;Mammals;Metabolic;Molecular;Mus;Mutation;neural circuit;neuromechanism;neuron development;Neurons;Neuropeptides;Neurosecretory Systems;Nutritional;Oligomenorrhea;Ovarian;Pattern;Peripheral;Physiological;Pituitary Gland;postnatal;Precocious Puberty;prepuberty;Process;psychologic;Puberty;public health relevance;receptor;Regulation;relating to nervous system;Relative (related person);Reproduction;reproductive;reproductive axis;Reproductive Process;Research;research study;Rodent;Role;Science;sex;Sex Characteristics;Sexual Development;Sexual Maturation;Signal Transduction;Site;Staging;Syndrome;System;Testing;Time;Transgenic Mice;Work;</t>
  </si>
  <si>
    <t>PUBLIC HEALTH RELEVANCE:  Adolescence is a time of critical physiological, behavioral, and psychological changes, but the precise molecular, cellular, and neural mechanisms underlying the regulation of pubertal development remain one of the enigmas of modern science. This proposal investigates the role of hormones and kisspeptin signaling in the regulation of the reproductive axis during key periods of development, including the postnatal "critical period" and sexual maturation (puberty). This work will contribute to our understanding of the critical role of hormones and neural circuits in essential reproductive and developmental processes, and will provide further insight into the mechanisms responsible for various human reproductive disorders and diseases, such as idiopathic hypogonadotropic hypogonadism, nutritional infertility, oligomenorrhea, polycystic ovarian syndrome, and precocious or delayed puberty.              PROJECT NARRATIVE Adolescence is a time of critical physiological, behavioral, and psychological changes, but the precise molecular, cellular, and neural mechanisms underlying the regulation of pubertal development remain one of the enigmas of modern science. This proposal investigates the role of hormones and kisspeptin signaling in the regulation of the reproductive axis during key periods of development, including the postnatal "critical period" and sexual maturation (puberty). This work will contribute to our understanding of the critical role of hormones and neural circuits in essential reproductive and developmental processes, and will provide further insight into the mechanisms responsible for various human reproductive disorders and diseases, such as idiopathic hypogonadotropic hypogonadism, nutritional infertility, oligomenorrhea, polycystic ovarian syndrome, and precocious or delayed puberty.</t>
  </si>
  <si>
    <t>25-AUG-2014</t>
  </si>
  <si>
    <t>065856</t>
  </si>
  <si>
    <t>10-AUG-2010</t>
  </si>
  <si>
    <t>31-DEC-2015</t>
  </si>
  <si>
    <t xml:space="preserve">Integrative and Clinical Endocrinology and Reproduction Study Section (ICER) </t>
  </si>
  <si>
    <t>KAUFFMAN, ALEXANDER S</t>
  </si>
  <si>
    <t>DESCRIPTION (provided by applicant): The proposed investigation is focused on a group of youngsters rarely studied by developmental scientists in the past, those in relatively affluent, suburban families. The few studies that do exist indicate surprisingly high maladjustment among these youth across various domains, particularly  substance use and subjective distress. The central objective of this research is to illuminate the ontogenesis of substance use and related problems among suburban teens, with special attention to forces likely to be especially salient in this contextual setting and at this developmental stage. Specifically, based on annual assessments of a cohort of suburban youth from the 6th through 12th grades, we will pursue the following aims: (1.) To examine developmental trajectories across the pre- through lateadolescent years;(2.) To examine the antecedents of substance useamong suburban adolescents, including individual factors (subjective distress and behavioral competence); context-relevant pathways (including achievement pressures and disconnection from parents); and influences of the peer community (peers? endorsement of substance use); (3.) To examine the consequences of substance usethrough the high school years, including those pertaining to self-reported inner distress problems in everyday social competence (academic difficultiesand behavioral non-conformity), and alienation from parents. Each of these objectives will be pursued separately for boys and girls. Assessments involve multiple respondents and multiple instruments with good psychometric properties, and substance use is measured in terms of both annual and monthly use of different substances, as well as problem severity. The sample willconsist of a cohort of sixth grade students (n=338) in an affluent town in the North East. Baseline 6th grade), as well as one- and two-year prospective data have already been obtained, and funding is being requested to follow this cohort for four more annual assessments. Tracking these youth through a seven-year period spanning pre-adolescence (prior to the onset of substance use and related problems) through late adolescence (by which time many problems have become crystallized) will be invaluable in documenting the pathways to, and consequences of, substance use by a group of youngsters at apparently highrisk -- yet little studied in the past.</t>
  </si>
  <si>
    <t>Achievement;Adolescence;Adolescent;adolescent substance use;Adult;Alcohol or Other Drugs use;Attention;base;Behavior;Behavioral;boys;Child;Class;cohort;Communities;Competence;Data;Development;Dimensions;Distress;emotional distress;Family;Fathers;Feeling;Funding;girls;Goals;high school;indexing;Individual;instrument;Investigation;Light;Link;Measures;Monitor;Mothers;parental influence;Parents;Pathway interactions;Patient Self-Report;peer;Peer Group;peer influence;Performance;pressure;Property;prospective;Prospective Studies;Psychometrics;Rate;Research;Respondent;Risk;Role;Sampling;Sampling Studies;Schools;Scientist;Severities;Sex Characteristics;social skills;Staging;Students;Substance abuse problem;Teenagers;Time;Youth;</t>
  </si>
  <si>
    <t>20-JUN-2007</t>
  </si>
  <si>
    <t>PA-99-113</t>
  </si>
  <si>
    <t>014385</t>
  </si>
  <si>
    <t>PRICE, LESHAWNDRA N</t>
  </si>
  <si>
    <t>1-FEB-2003</t>
  </si>
  <si>
    <t>14-APR-2008</t>
  </si>
  <si>
    <t>Special Emphasis Panel (ZRG1-RPHB-4 (05)M)</t>
  </si>
  <si>
    <t>LUTHAR, SUNIYA S</t>
  </si>
  <si>
    <t>071050983</t>
  </si>
  <si>
    <t>1833204</t>
  </si>
  <si>
    <t>COLUMBIA UNIVERSITY TEACHERS COLLEGE</t>
  </si>
  <si>
    <t>10027-0151</t>
  </si>
  <si>
    <t>1-FEB-2007</t>
  </si>
  <si>
    <t>Behavioral and Social Science;Clinical Research;Clinical Trials and Supportive Activities;Drug Abuse (NIDA only);HIV/AIDS;Health Disparities;Infectious Diseases;Prevention;Sexual and Gender Minorities (SGM/LGBT*);Sexually Transmitted Infections;Substance Abuse;Substance Abuse Prevention;Women's Health</t>
  </si>
  <si>
    <t>DESCRIPTION (provided by applicant): Malaysia's HIV epidemic, historically driven by male people who inject drugs (PWIDs), has transitioned over the last two decades to a generalized epidemic with bridges between substance abuse and sexual transmission. During this period, females have accounted for a growing proportion of new HIV infections (from 1% in 1990 to 25% in 2011), which are overwhelmingly attributed to sexual transmission. Transgender women have also faced a growing HIV burden in the region, with recent evidence suggesting they are one of the highest at-risk subpopulations globally. Sex work and the frequent co-occurrence of substance abuse is a major risk factor for both females and transgender women, especially in Malaysia, which has become a major destination for sex tourism. Despite recommendations by international agencies (WHO, UNODC, UNAIDS) to implement innovative, combination approaches to HIV and substance abuse prevention, especially among women, uptake in Malaysia, and Southeast Asia generally, has been woefully inadequate. Novel approaches to addressing the complex syndemic of sex work and substance abuse among female and transgender sex workers (F/TGSWs) are in demand. The mentored projects proposed here address this need through the conduct of two formative research studies. The first will estimate the prevalence of HIV and STIs among F/TGSWs in Malaysia's Klang Valley, assess sexual and drug risk behaviors, and determine feasibility of behavioral and biomedical approaches to HIV and substance use prevention. The second study will build on the first by adapting behavioral and biomedical interventions to address co-occurring sexual and drug risk behaviors among F/TGSWs in the region. Findings from these projects will contribute to a greater understanding of HIV and substance abuse risk behaviors among the target population and establish the knowledge necessary to develop innovative approaches to addressing them. The candidate, Dr. Wickersham, is uniquely poised to perform this work because of his strong background in gender and women's studies, his research productivity in the area of public health, and his experience with research in the Malaysian context. Over the five years of this proposal, he will achieve his career goals and professional objectives to: 1) develop expertise in research methods necessary to design, perform, and adapt HIV risk reduction interventions and eventually conduct clinical trials relating to HIV and STI prevention among TGW and FSWs in Malaysia; 2) gain experience in intervention development, adaptation, testing, implementation, and dissemination that will address gender-specific barriers to HIV prevention and treatment services; and 3) develop an independent career path in patient-oriented research focused on the interface between HIV, women's health, gender, and substance abuse and prevention. To achieve these goals, Dr. Wickersham has assembled a team of outstanding leaders in the fields of HIV, substance abuse, epidemiology, and behavioral and biomedical intervention science. Under their guidance, he will complete relevant coursework, attend seminars, and conduct research to apply the skills necessary to become an independent investigator in HIV and substance abuse prevention among female and transgender women sex workers in the Malaysian context.</t>
  </si>
  <si>
    <t>Address;Adopted;Adult;Age;AIDS prevention;Alcohol abuse;Alcohol consumption;Alcohol or Other Drugs use;Amphetamines;Area;Asia;Asians;Behavioral;biobehavior;career;Career Choice;Client;comparative effectiveness;Complex;condoms;Conduct Clinical Trials;Country;Data;design;Destinations;Discrimination;Drug abuse;Drug usage;Drug user;effectiveness trial;Enrollment;Ensure;Epidemic;evidence base;Evidence based intervention;experience;Face;Female;Funding;Future;Gender;General Population;Goals;health assessment;Health Services Accessibility;Heroin;HIV;HIV diagnosis;HIV Infections;HIV risk;illicit drug use;improved;Incidence;Income;Individual;Infection;Injecting drug user;innovation;International Agencies;Interpersonal Violence;Intervention;Knowledge;Malaysia;Malaysian;male;Mediation;men;Mentors;Mentorship;Meta-Analysis;novel strategies;patient oriented research;Pattern;Pharmaceutical Preparations;Population;Poverty;pre-exposure prophylaxis;Prevalence;prevent;prevention service;Prevention strategy;Preventive Intervention;Probability;Productivity;Public Health;public health relevance;Recommendation;Religion and Spirituality;Reporting;reproductive;Research;Research Activity;Research Methodology;Research Personnel;Research Project Grants;research study;Respondent;Risk;Risk Behaviors;Risk Factors;Risk Reduction;Role;Sampling;Science;self esteem;sex;Sexual Partners;Sexual Transmission;sexual violence;Sexually Transmitted Diseases;skills;Smoking;Social Network;Southeastern Asia;STI prevention;substance abuse epidemiology;substance abuse prevention;Substance abuse problem;substance use prevention;Surveys;systematic review;Target Populations;Techniques;Testing;therapy development;Training;transgender;transgender women;transmission process;treatment services;uptake;Woman;Women's Health;Work;</t>
  </si>
  <si>
    <t>PUBLIC HEALTH RELEVANCE: The proposed research will focus on determining the prevalence of HIV and sexually transmitted infections (STIs) among female and transgender women sex workers (FTSWs) in Malaysia, as well as evaluate the acceptability and feasibility of implementing behavioral and biomedical approaches to HIV prevention and reducing sexual- and drug-related HIV risk behaviors. Specifically, this research will lead to: 1) improved knowledge on the prevalence of HIV and STIs among FTSWs in Malaysia; 2) improved understanding of sexual and drug risk behaviors that drive the transmission of HIV among FTSWs; and 3) identification of factors that impact acceptability and feasibility of innovative behavioral and biomedical approaches to preventing HIV transmission and reducing risk behaviors.</t>
  </si>
  <si>
    <t>26-JUN-2018</t>
  </si>
  <si>
    <t>038529</t>
  </si>
  <si>
    <t>1-JUL-2014</t>
  </si>
  <si>
    <t>WICKERSHAM, JEFFREY ALLEN</t>
  </si>
  <si>
    <t>Behavioral and Social Science;Brain Disorders;Clinical Research;Drug Abuse (NIDA only);Mental Health;Pediatric;Prevention;Substance Abuse;Suicide;Suicide Prevention</t>
  </si>
  <si>
    <t xml:space="preserve">  DESCRIPTION (provided by applicant): Youth suicide constitutes a major public health problem, ranking as the second leading cause of death for youth worldwide.  Of all psychiatric disorders in youth, bipolar disorder imparts the greatest risk for suicide, followed by a substance use disorder.  Mood disorder and substance use disorders commonly co-occur, and the combination increase the risk for completed suicide in adolescents exponentially over either disorder alone.  Unfortunately, effective suicide prevention efforts, particularly for the ultra-high-risk population of youth with mood disorder and substance use, remain limited.  This void in the treatment research may be understood by findings that a multitude of factors from a variety of domains contribute to suicidal risk; such factors remain too diffuse and multiply determined to be considered optimal targets for preventive interventions. Experts in the field have thus called for prospective, longitudinal studies in high-risk samples to systematically investigate specific mechanisms of suicide risk in adolescents.  The American Association of Suicidology has specifically identified a need for research on proximal, dynamic and modifiable factors for substance use-to inform targeted preventive approaches for high-risk populations.     </t>
  </si>
  <si>
    <t>accomplished suicide;Acute;Adolescent;Affective;Alcohol or Other Drugs use;American;binge drinking;Bipolar Disorder;Cause of Death;Cereals;Clinical;Comorbidity;Data;design;Differential Diagnosis;Diffuse;Disease;Distal;disturbance in affect;Evaluation;Exhibits;experience;Feeling suicidal;follow-up;Foundations;Funding;Grant;high risk;Hour;ideation;improved;Individual;Interview;Lead;Longitudinal Studies;Maps;Measures;Mental Depression;Mental disorders;Methods;Mood Disorders;Moods;Morbidity - disease rate;mortality;Nature;negative mood;Onset of illness;Parents;Population;Preclinical Drug Evaluation;Prevention;Preventive;Preventive Intervention;prospective;Prospective Studies;Public Health;Reporting;Research;Research Personnel;research study;Retrospective Studies;Risk;Risk Factors;Sampling;Sleep;Sleep disturbances;Staging;Substance Use Disorder;suicidal adolescent;suicidal behavior;suicidal risk;Suicide;Suicide attempt;suicide attempter;Suicide prevention;Time;Toxicology;Urine;Youth;</t>
  </si>
  <si>
    <t>Youth suicide constitutes a major public health problem, ranking as the second leading cause of death for young people worldwide.  Of all psychiatric disorders, bipolar disorder imparts the greatest risk for suicide, followed by a substance use disorder.  Mood disorders and substance use disorders commonly co-occur, and the combination increases the risk for completed suicide in adolescents exponentially over either disorder alone.  Improved understanding of the nature of these interrelated risk factors has the potential to inform targeted suicide prevention efforts for those at highest risk, thereby decreasing the morbidity, mortality and suffering associated with youth suicide.</t>
  </si>
  <si>
    <t>25-JUL-2012</t>
  </si>
  <si>
    <t>RFA-DA-11-010</t>
  </si>
  <si>
    <t>032505</t>
  </si>
  <si>
    <t>WEINBERG, NAIMAH Z</t>
  </si>
  <si>
    <t>15-SEP-2011</t>
  </si>
  <si>
    <t>31-JUL-2014</t>
  </si>
  <si>
    <t>Special Emphasis Panel (ZRG1-IFCN-L (50)R)</t>
  </si>
  <si>
    <t>GOLDSTEIN, TINA R</t>
  </si>
  <si>
    <t>Alcoholism, Alcohol Use and Health;Contraception/Reproduction;Neurosciences;Pediatric;Substance Abuse;Underage Drinking</t>
  </si>
  <si>
    <t xml:space="preserve">﻿   DESCRIPTION (provided by applicant): The increase in alcohol (ALC) use and abuse by adolescents during recent years poses several risks for individuals associated with growth, endocrine functions and development. Puberty-related developmental problems can occur and often vary depending upon the age that consumption and abuse begins, as well as the frequency of use, amount consumed and the duration of these habits. In females, suppressed sex steroids and delayed breast development are early indicators of developmental problems, as well as delayed or altered menarche. Similarly, research using rhesus monkeys indicated prepubertal ALC consumption caused delayed development of a regular monthly pattern of menstruation. Importantly, it has been suggested that girls using ALC have four times the chances of having delayed puberty than non-users. These examples clearly indicate the health-related significance caused by ALC use during adolescence. Studies in prepubertal rats and rhesus monkeys reveal that ALC acts at the hypothalamic level to suppress key puberty-related genes and hormones, but more research is needed to define mechanisms behind these actions. The objective of this study is to obtain information which will allow us to better understand the detrimental effects and mechanisms of action of ALC on the female pubertal process and to begin to identify potential means by which we can ameliorate some of ALCs detrimental effects. To address mechanisms, critical assessments are needed as to the actions and interactions of ALC with regard to the control of hypothalamic luteinizing hormone releasing hormone (LHRH), the peptide responsible for pubertal onset and reproductive function thereafter. Puberty is the result of the increased excitatory activation of pulsatile LHRH release, while at the same time a decrease in the prepubertal inhibitory activity occurs that has been responsible for keeping a 'break' on the pubertal process. Using prepubertal female rats, research in this proposal will employ in vivo and in vitro techniques with molecular and physiological approaches to identify and assess upstream excitatory and inhibitory hypothalamic genes and peptides that ultimately control prepubertal LHRH secretion, discern the puberty-related substances that regulate them, and define the actions and interactions of ALC on their expressions and physiological functions. Also, specific studies will assess potential means to effectively restore development and shorten the recovery time associated with prepubertal ALC use. This research is relevant to adolescent health and development and intended to further identify the effects of ALC with regard to brain events and their actions which control female pubertal maturation. Relevance Alcohol use and abuse by adolescents poses several risks for individuals associated with growth and the timing of puberty. More basic research is needed to better understand the mechanisms by which alcohol alters the pubertal process. This proposed research is important and relevant to adolescent health and development and is intended to further identify the effects of alcohol with regard to brain events and their actions which control female pubertal maturation.      </t>
  </si>
  <si>
    <t>Acute;Address;Adolescent;adolescent alcohol abuse;Affect;Age;Alcohol consumption;alcohol effect;alcohol exposure;Alcohols;Basic Science;Brain;Breast;Chronic;Consumption;Delayed Puberty;Development;Endocrine;Event;falls;Female;Frequencies;Gene Proteins;Genes;girls;Goals;Gonadal Steroid Hormones;Gonadotropin Hormone Releasing Hormone;Growth;Growth Factor;Habits;Health;Hormones;human FRAP1 protein;Hypothalamic structure;In Vitro;in vivo;Individual;inhibitor/antagonist;Insulin-Like Growth Factor I;KISS1 gene;kisspeptin;Macaca mulatta;Menarche;Menstruation;Methods;Molecular;Needs Assessment;Neurokinin B;Neurons;Neurosecretory Systems;novel;Nutrient;Opioid;Opioid Peptide;Opioid Receptor;Pathway interactions;Pattern;Peptides;Physiologic pulse;Physiological;prepuberty;Process;protein expression;protein function;Proteins;Puberty;public health relevance;Rattus;Recovery;Regulation;reproductive function;Research;Risk;Signal Transduction Pathway;Site;Techniques;Time;Tissues;underage drinking;</t>
  </si>
  <si>
    <t>PUBLIC HEALTH RELEVANCE: The increase in alcohol use and abuse by adolescents during recent years poses several risks for individuals associated with growth and endocrine development. Studies proposed will assess the involvement and activation of specific puberty-related genes and actions of peptides in the brain critical to the onset of puberty, discern the effects of ALC on their actions and interactions, and devise methods to effectively restore development and shorten the recovery time associated with delayed puberty due to prepubertal alcohol use. This research is important and relevant to adolescent health and development, and the information gained will promote a better understanding of the effects of alcohol on puberty-related events.</t>
  </si>
  <si>
    <t>24-AUG-2015</t>
  </si>
  <si>
    <t>007216</t>
  </si>
  <si>
    <t>24</t>
  </si>
  <si>
    <t>DUNTY, JR, WILLIAM</t>
  </si>
  <si>
    <t>1-JUL-1986</t>
  </si>
  <si>
    <t xml:space="preserve">Neurotoxicology and Alcohol Study Section (NAL) </t>
  </si>
  <si>
    <t>DEES, W L</t>
  </si>
  <si>
    <t>17</t>
  </si>
  <si>
    <t>VETERINARY SCIENCES</t>
  </si>
  <si>
    <t>847205713</t>
  </si>
  <si>
    <t>8266920</t>
  </si>
  <si>
    <t>TEXAS A&amp;M AGRILIFE RESEARCH</t>
  </si>
  <si>
    <t>College Station</t>
  </si>
  <si>
    <t>SCHOOLS OF VETERINARY MEDICINE</t>
  </si>
  <si>
    <t>77845</t>
  </si>
  <si>
    <t>1-SEP-2015</t>
  </si>
  <si>
    <t>﻿   DESCRIPTION (provided by applicant):  Recent estimates of U.S. HIV incidence indicate that young people aged 13 to 25 account for more than a 25% of new infections, with the majority of cases among young men who have sex with men (YMSM). While official incidence statistics are not differentiated by transgender status, local estimates indicate extremely high rates of unrecognized HIV infection among young transgender women (YTW). Substance use, particularly alcohol misuse, has been identified as a driver of sexual risk and a potential barrierto engagement in the HIV prevention and care continuum (i.e., Seek, Test, Treat, Retain) among YMSM and YTW, but these youth are difficult to reach for substance use services due in part to marginalized status and poor access to health care. YMSM and YTW, however, often seek HIV testing and other supportive services in community-based and outreach settings. These settings are underutilized as potential entry points for engagement in comprehensive care across the HIV prevention and care continuum, which now extends to the use of pre-exposure prophylaxis (PrEP) for high risk HIV-negative youth. To capitalize on this opportunity, we propose to test a structural change to the Seek, Test, Treat and Retain (STTR) model by integrating substance use screening and brief intervention into the traditional community-based HIV testing environment. We will couple STTR with Screening &amp; Brief Intervention (SBI) for substance use at the point of HIV testing, adapting SBI for electronic deployment (eSBI) in community-based environments that target YMSM and YTW. The purpose of this study is to test the feasibility, acceptability and initial efficacy of eSBI coupled with STTR (intervention) in comparison to STTR only (control) among YMSM and YTW in community-based HIV testing environments in Chicago and to assess and describe intervention effects on engagement within the HIV and PrEP care continuum. We will do this with the following aims: Aim 1: Assess the feasibility, acceptability and initial efficacy of electronic Screening &amp; Brief Intervention (eSBI)+ Seek, Test, Treat and Retain (STTR) compared to STTR-only to reduce alcohol and other substance use among 450 YMSM and YTW in Chicago, ages 16-25; Aim 2: To explore the initial efficacy of eSBI+STTR in comparison to STTR-only on secondary exploratory outcomes within the HIV and PrEP care continuum among YMSM and YTW. The proposed study is highly responsive to RFA-DA-15-019 by seeking to test empirically-based interventions for substance use within the HIV care continuum among understudied and high-risk populations. Together, the research team has substantial experience with SBI as well as the target populations, YMSM and YTW, to effectively engage them in the proposed research. Study findings have the potential to change the structure of the HIV testing paradigm for these youth at high risk of HIV infection by imbedding substance use screening and intervention into the traditional HIV testing environment, within a portable and reproducible framework that is generalizable to community-based contexts.</t>
  </si>
  <si>
    <t>Advisory Committees;Age;aged;AIDS prevention;Alcohol consumption;alcohol misuse;Alcohol or Other Drugs use;Alcohols;Anxiety;arm;attentional control;base;binge drinking;burden of illness;Caring;Case Management;Characteristics;Chicago;college;Communities;Comprehensive Health Care;Consumption;Continuity of Patient Care;Coupled;Data;effective intervention;Environment;Ethnic Origin;experience;Frequencies;Future;health care availability;high risk;high risk population;HIV;HIV Infections;HIV Seronegativity;HIV Seropositivity;Human immunodeficiency virus test;illicit drug use;Incidence;Infection;Intervention;intervention effect;intervention participants;Intervention Trial;Knowledge;Marijuana;Mental Depression;Mental Health;Modeling;Newly Diagnosed;Outcome;outreach;Population;portability;post intervention;pre-exposure prophylaxis;prevention service;primary outcome;public health relevance;Race;Recording of previous events;Reproducibility;Research;Risk;Sample Size;Sampling;satisfaction;screening;screening and brief intervention;screening, brief intervention, referral, and treatment;Services;sociodemographics;standard of care;statistics;Structure;Subgroup;Target Populations;Testing;transgender;transgender women;Trauma;United States Substance Abuse and Mental Health Services Administration;Women Status;young adult;young men who have sex with men;Youth;</t>
  </si>
  <si>
    <t>PUBLIC HEALTH RELEVANCE:  HIV incidence is greatest among young men who have sex with men (YMSM) and young transgender women (YTW). The purpose of this study is to assess the feasibility, acceptability and test the initial efficacy of eSBI among YMSM and YTW in community-based HIV testing environments. Advancements in scientific knowledge with regard to the efficacy of substance use intervention in this high risk population are critical to reducing the population burden of disease.</t>
  </si>
  <si>
    <t>RFA-DA-15-019</t>
  </si>
  <si>
    <t>041071</t>
  </si>
  <si>
    <t>Special Emphasis Panel (ZDA1-NXR-B (09)R)</t>
  </si>
  <si>
    <t xml:space="preserve">GAROFALO, ROBERT  </t>
  </si>
  <si>
    <t xml:space="preserve">KARNIK, NIRANJAN </t>
  </si>
  <si>
    <t>Abstract/SummaryIn response to the public health threat that suicide poses to American youth in general and incarcerated youthin particular, we propose a multi-year, multi-site, setting-level intervention in the New York City Juvenile Justicesystem. In partnership with the NYC Administration for Children's Services (ACS), we will experimentallyevaluate an evidence-based staff-level training (S4L) to address youth suicidality during two critical points ofcontact for juvenile-justice involved youth: placement and post-release Aftercare. S4L combines training inShield of Care (SOC), an evidence-based model for acute suicide detection training for juvenile justice staff,with evidence-based suicide prevention skill-building training informed by dialectical-behavior therapy foradolescents at risk for suicide ideation, behavior, and non-suicidal self-injury (NSSI). We will compare theeffectiveness of S4L to a training as usual control condition (control), and to a condition in which we providemonthly on-site coaching to staff to support the acquisition and implementation of S4L skills (S4L+). Theintervention will be implemented as part of ACS's usual staff-training procedures. The need for intervention isurgent at this time due to recent state-level policy shifts that will increase the number youth in these sites andheighten their suicide risk. S4L and S4L+ will be evaluated using a 3-arm cluster-randomized design with thefull population of non-secure placement (NSP)/Aftercare sites (N=30 sites; N=1800 youth, 30% girls). Thesesites are sole infrastructure for long-term confinement in NYC. NSP/Aftercare sites will be randomized tocontrol (N=10 sites; 600 youth), S4L (N=10 sites; 600 youth), and S4L+ (N=10 sites; 600 youth) conditions. Wetest the effectiveness of S4L compared to S4L+ and control on improving suicidal behavior, suicidal ideation,and NSSI; mental health outcomes (internalizing, externalizing and substance use); and correlates ofsuicide/mental health (impulsivity, mood, and coping). In addition, we test the extent to which site-levelimplementation characteristics (e.g., proportion of staff trained; average amount of detection and preventionactivities); site and staff-level structural characteristics (e.g., prior training, burnout); and individual youthcharacteristics (e.g., demographics; trauma history) moderate S4L and S4L+ effectiveness. Youth outcomedata on suicidal behavior, suicidal ideation, NSSI, and mental health problems and their correlates will betracked longitudinally for 1 year. In response to the FOA, outcomes will be assessed via evidence-basedmeasures that capture dimensional facets of disorder in line with NIH's common data elements andrecommendations by the National Action Alliance for Suicide Prevention. Site-level intervention moderators willbe measured by staff survey and administrative data. This project aims to expand the scientific knowledgebase on suicide prevention and intervention in high-stakes youth settings and provide empirically-basedguidance regarding the feasibility and scalability of staff training and coaching into different juvenile justicesystems and jurisdictions. This project leverages an existing collaboration and has the full support of ACS.</t>
  </si>
  <si>
    <t>18 year old;Acute;Address;Administrator;Adolescent;Aftercare;Alcohol or Other Drugs use;American;Area;arm;base;Behavior;burnout;Cancer and Suicide;Caring;Cause of Death;Centers for Disease Control and Prevention (U.S.);Cessation of life;Characteristics;child services;Child Welfare;Cluster randomized trial;Collaborations;Common Data Element;Communication;compare effectiveness;coping;Data;demographics;design;Detection;Dialectical behavior therapy;Dimensions;Disease;Educational Status;Effectiveness;Effectiveness of Interventions;Evaluation;evidence base;experience;Feeling suicidal;Fostering;General Population;girls;Gold;help-seeking behavior;Heterogeneity;high risk;Hour;Human Resources;ideation;implementation science;Imprisonment;improved;Impulsivity;Individual;Infrastructure;Intervention;Justice;juvenile justice system;Knowledge;knowledge base;Legal;Legal system;Letters;Life;Literature;longitudinal analysis;Measures;Medical;Mental Health;Modeling;Moods;New York;New York City;non-suicidal self injury;Outcome;Personal Satisfaction;Policies;Population;Prevention;Prevention therapy;Preventive Intervention;Probability;Procedures;Protocols documentation;Public Health;Randomized;Recommendation;Recording of previous events;Registries;Research;Research Personnel;Resources;response;Risk;Site;skills;skills training;Structure;suicidal behavior;suicidal morbidity;suicidal risk;Suicide;Suicide prevention;suicide rate;Surveys;System;Testing;theories;Thinking;Time;Training;Training Programs;Trauma;United States;United States National Institutes of Health;Universities;uptake;Vulnerable Populations;Work;Youth;</t>
  </si>
  <si>
    <t>Project Narrative Youth between 10 and 24 years old are more likely to die by suicide than by cancer, illness, or hearth disease combined (Heron, 2016). The nearly 2 million youth in the juvenile legal system each year are at even higher risk: they experience a 3- to 5-fold increase in the probability of death by suicide and have higher rates of non- suicidal self-injury and mental health problems. There is a public health imperative to implement and evaluate scaleable suicide detection and prevention interventions that leverage existing legal system infrastructure to respond to the suicide crisis in this vulnerable population.</t>
  </si>
  <si>
    <t>25-MAY-2019</t>
  </si>
  <si>
    <t>PAR-16-299</t>
  </si>
  <si>
    <t>114937</t>
  </si>
  <si>
    <t>ROONEY, MARY</t>
  </si>
  <si>
    <t xml:space="preserve">JAVDANI, SHABNAM  </t>
  </si>
  <si>
    <t xml:space="preserve">GODFREY, ERIN </t>
  </si>
  <si>
    <t>Adolescent Sexual Activity;Behavioral and Social Science;Clinical Research;Clinical Trials and Supportive Activities;HIV/AIDS;Health Services;Immunization;Infectious Diseases;Pediatric;Pediatric AIDS;Prevention;Vaccine Related;Vaccine Related (AIDS)</t>
  </si>
  <si>
    <t xml:space="preserve">  DESCRIPTION (provided by applicant):  AIM 1- The Stroger/CORE ATU will continue to work collaboratively within the ATN structure to assist in the implementation of interventional studies that address HIV/AIDS among adolescents and young adults (ages 12-25) through primary, secondary, and tertiary prevention approaches. AIM 2 - The Stroger/CORE ATU's HIV experienced, multidisciplinary clinical staff will be responsible for ATN subject recruitment, retention, and safety in conjunction with our wide array of adolescent-specific services in our well established adolescent HIV care program. AIM 3 - The Stroger/CORE ATU will enroll and monitor subjects in a central managerial database, continuously monitor its managerial capacity for conducting research protocols and reporting on protocol implementation, data collection, and submission via continuous quality assurance of these capabilities by key personnel.  The Stroger/CORE Center Adolescent Trials Unit (ATU) operates as part of the Division of Adolescent and Young Adult Medicine, Department of Pediatrics at Stroger Hospital (JSH) and has a comprehensive health care clinic, the Adolescent Medicine Program at CORE (AMaC), housed at the Ruth M. Rothstein CORE Center. JSH is the largest provider of comprehensive services for all youth in Chicago. The CORE Center is the largest free standing clinic dedicated to the treatment and research into HIV and other infectious disease in the U.S. CORE operates on principles of cultural competency, with specific clinics and resources dedicated to adolescents and adolescent-medicine trained physicians and nurse practitioners. The clinic currently has 223 HIV positive youth age 13 to 24 years old, in care. Our youth patients are culturally diverse: 83% African American, 11% Latino, 4% Caucasian and 3% Other. By gender, 74% are male, 23% are female and 3% are transgender. Our ATU's experience in implementing the Adolescent Trials Network (ATN) research agenda is well recognized, we consistently have been one of the top 3 sites for enrolling patients into studies open to all sites. Our history of retention of youth in care (88-96%) and in all research protocols-behavioral, therapeutic and community-based (average of 89%) during ATN II, highlights our capacity for continued work with the ATN. The Stroger/CORE ATU employs well-characterized outreach techniques to identify youth and engage them in care including: targeted, social networking and marketing; a community-based outreach program and drawing youth from our HIV specific and general adolescent clinics.     RELEVANCE: The ATN research agenda in Chicago is relevant to the public health issues faced by youth in our community. An understanding of how and among whom the virus is transmitted, learning what issues face adolescents as they enter care or not, or adhere to medication regimens or not, is crucial in the fight against HIV/AIDS. ATN research studies provide much needed evidenced-based strategies to develop public health policies and programs to aid in the reduction of HIV/AIDS and co-morbidities among adolescents.       </t>
  </si>
  <si>
    <t>Address;Adolescent;Adolescent and Young Adult;Adolescent Medicine;Adolescent Medicine Trials Network;African American;Age;AIDS/HIV problem;base;Behavioral;Caring;Caucasians;Chicago;Clinic;Clinical;Communicable Diseases;Communities;Comorbidity;Comprehensive Health Care;Data Collection;Databases;Enrollment;evidence base;experience;Face;Female;fight against;Gender;Health Policy;HIV;HIV Seropositivity;Hospitals;Housing;Human Resources;Latino;Learning;male;Medicine;Monitor;multidisciplinary;Nonhospital Ambulatory Care Facilities;Nurse Practitioners;outreach;outreach program;Patients;pediatric department;Pharmaceutical Preparations;Physicians;Prevention approach;Primary Prevention;programs;Protocols documentation;Provider;Public Health;quality assurance;Recording of previous events;Regimen;Reporting;Research;research study;Resources;Safety;Secondary Prevention;Services;Site;Social Marketing;Social Network;Structure;Techniques;tertiary prevention;Therapeutic community technique;Training;transgender;Virus;Work;Youth;</t>
  </si>
  <si>
    <t>25-FEB-2015</t>
  </si>
  <si>
    <t>040515</t>
  </si>
  <si>
    <t>15</t>
  </si>
  <si>
    <t>16-APR-2001</t>
  </si>
  <si>
    <t>HENRY-REID, LISA MICHELLE</t>
  </si>
  <si>
    <t>1-MAR-2015</t>
  </si>
  <si>
    <t xml:space="preserve">  DESCRIPTION (provided by applicant): Treatments administered under conditions of usual clinical care (UC) for children have repeatedly been shown to have much smaller effects than evidence-based psychosocial treatments (EBTs) administered within of research studies. These results have led to calls to improve the quality of care for children through dissemination of EBTs to existing service settings. In 2004, the Texas Department of State Health Services (TDSHS) initiated what is likely the largest EBT implementation effort to date. This effort, the Resiliency and Disease Management (RDM) initiative, requires the statewide exclusive use of EBTs in TDSHS mental health services. The proposed study seeks to utilize an existing administrative dataset to assess the impact of RDM on the treatment outcomes of 4,207 children (ages 4-18) treated in the Harris County (Houston, Texas) Mental Health and Mental Retardation Authority (MHMR-A). Specifically, the proposed study will employ an interrupted time-series design to examine changes in child outcomes before and after RDM. This proposal will advance the field by answering a central question of public health importance: Has this large- scale effort to implement EBTs in community mental health settings had an impact on child outcomes (Aim 1)? If, as the state hopes, this policy leads to improved treatment outcomes, this effort may serve as a model for other states interested in making similar improvements. If, on the other hand, this policy is associated with no changes or even worse outcomes, it may provide a cautionary lesson regarding the risks of undertaking such an effort in the absence of funding for intensive implementation methods. The proposed study will also inform future research by determining whether outcomes varied across children or providers and, if so, examining hypothesized child and provider moderators of this variability (Aim 2). Based on the results of the proposed study, future studies will focus on implementation factors related to RDM outcomes.       </t>
  </si>
  <si>
    <t>Address;Adolescent;Advocate;Age;Alcohol or Other Drugs use;authority;base;Behavior;BLase;Caucasians;Caucasoid Race;Characteristics;Child;Child Mental Health;Client;Clinic;Clinical;clinical care;Communities;cost;County;Data;Data Set;design;Diagnosis;Discipline;Disease Management;Educational Background;Educational workshop;Employment;ethnic minority population;evidence base;Evidence based treatment;Family;Funding;Future;Hand;Health Services;Hospitalization;improved;income insurance;Insurance Coverage;Intake;Justice;Learning;Longevity;Manuals;meetings;Mental Health;mental health organization;Mental Health Services;Mental Retardation;Methods;Minority;Modeling;National Institute of Mental Health;Outcome;Parents;Policies;Provider;psychosocial;Public Health;Quality of Care;Radio;Relative (related person);Reporting;Research;research study;Risk;Schools;Self-Injurious Behavior;Series;Services;Severities;skills;Socioeconomic Status;State Interests;Symptoms;Texas;Time;Training;Treatment outcome;Visit;Youth;</t>
  </si>
  <si>
    <t>12-DEC-2009</t>
  </si>
  <si>
    <t>PA-06-180</t>
  </si>
  <si>
    <t>079918</t>
  </si>
  <si>
    <t>CHAMBERS, DAVID A</t>
  </si>
  <si>
    <t>15-MAR-2008</t>
  </si>
  <si>
    <t>30-SEP-2011</t>
  </si>
  <si>
    <t xml:space="preserve">Mental Health Services in MH Specialty Settings (SRSP) </t>
  </si>
  <si>
    <t xml:space="preserve">JENSEN-DOSS, AMANDA </t>
  </si>
  <si>
    <t>27-OCT-2009</t>
  </si>
  <si>
    <t>Clinical Research;Neurosciences</t>
  </si>
  <si>
    <t>This subproject is one of many research subprojects utilizing theresources provided by a Center grant funded by NIH/NCRR. The subproject andinvestigator (PI) may have received primary funding from another NIH source,and thus could be represented in other CRISP entries. The institution listed isfor the Center, which is not necessarily the institution for the investigator.This research is studying hormone levels in male to female transsexuals and how their brain responds to various visual stimuli.   Hypothesis: When presented with various visual stimuli, transsexuals will have reponses that are more consistent with their desired gender, rather than their gender at birth. The study uses functional MRI to measure these responses.</t>
  </si>
  <si>
    <t>Birth;Brain;Clinical Research;Computer Retrieval of Information on Scientific Projects Database;Female;Functional Magnetic Resonance Imaging;Funding;Gender;Grant;Hormones;Institution;male;Measures;New Mexico;Research;Research Personnel;Resources;response;Source;transgender;United States National Institutes of Health;Universities;visual stimulus;</t>
  </si>
  <si>
    <t>10-DEC-2008</t>
  </si>
  <si>
    <t>000997</t>
  </si>
  <si>
    <t>34</t>
  </si>
  <si>
    <t>1-DEC-2008</t>
  </si>
  <si>
    <t>30-NOV-2009</t>
  </si>
  <si>
    <t xml:space="preserve">KAPSNER, PATRICIA </t>
  </si>
  <si>
    <t>868853094</t>
  </si>
  <si>
    <t>1415702</t>
  </si>
  <si>
    <t>UNIVERSITY OF NEW MEXICO</t>
  </si>
  <si>
    <t>ALBUQUERQUE</t>
  </si>
  <si>
    <t>NM</t>
  </si>
  <si>
    <t>87106-3807</t>
  </si>
  <si>
    <t>﻿   DESCRIPTION (provided by applicant): Adolescence is a period of dramatic developmental transitions - from puberty-related changes in hormones, bodies, and brains to a complex psychological reorientation to the social world. The concurrent and marked increase in the onset of many psychiatric syndromes has prompted the search for key developmental processes that drive changes in risk for psychopathology during this period of life. Pubertal development is a prime candidate, but the precise neurobiological mechanisms via which puberty impacts adolescent-emergent mental health problems are still unknown. Hormonal surges associated with pubertal development in early adolescence are believed to impact a range of factors associated with brain development, psychological motivations, and social behavior that have demonstrated associations with risk for mental health symptoms. Therefore, this complex transition spanning molecules, neural circuits, and behavior is particularly well-suited for investigation using the RDoC mechanism. The proposed research focuses on constructs from the RDoC domain of Systems for Social Processes that change rapidly during adolescence: Self-Knowledge, Understanding of Mental States, and Affiliation. We hypothesize that these social processes (and their underlying neural circuitry) mediate the known relationship between the biological cascade of development associated with puberty and adolescent-emergent mental health problems. Accordingly, this proposal aims to conduct a comprehensive multilevel investigation of the connections between social cognitive and biological changes during early adolescence, in order to reveal the ways in which these interconnected changes relate to risk for the emergence of a range of mental health problems that are known to be associated with pubertal development (i.e., symptoms of depression, anxiety, and deliberate self-harm). Specifically, we will accomplish this goal by conducting a prospective longitudinal neuroimaging study of adolescent girls including three waves of data collection separated by 18 months (initial N=170, age 11 ± 1 years). At each time point we will assess: i) levels of adrenal and gonadal hormones associated with pubertal development, as well as anthropometric data and secondary sex characteristics; ii) brain structure, anatomical connectivity (diffusion tensor imaging), and resting-state functional connectivity; iii) social cognitive brain functioning and behavior (in twoparadigms measuring self-evaluation, perspective-taking, and intrinsic value of self-disclosure); and iv) mental health symptoms (particularly of depression, anxiety, and deliberate self-harm). We will use advanced statistical modeling techniques to describe the cross-sectional and longitudinal relationships between developmental patterns in each of these domains. The project will therefore inform a mechanistic model of the association between developmental and psychopathological processes during this stage of life, one that will critically inform early intervention and prevention strategies.</t>
  </si>
  <si>
    <t>Adolescence;Adolescent;Adrenal hormone preparation;Age;Anatomy;Anxiety;base;Behavior;Behavioral;Biological;Brain;Child;Childhood;Cognitive;Complex;Data;Data Analyses;Data Collection;Databases;depressive symptoms;Development;developmental plasticity;Developmental Process;Diffusion Magnetic Resonance Imaging;early adolescence;Early Diagnosis;Early Intervention;Female Adolescents;Goals;Gonadal Hormones;high risk;Hormonal;Hormones;Incidence;indexing;Individual;Intervention;Investigation;Knowledge;Life;Link;Longevity;Measures;Mediating;Mediation;Mediator of activation protein;Mental Depression;Mental disorders;Mental Health;mental state;model building;Modeling;Motivation;neural circuit;neurobiological mechanism;Neurobiology;neuroimaging;novel;Pattern;Phase;Prevention;Prevention program;Prevention strategy;Preventive Intervention;Process;programs;prospective;psychologic;Psychopathology;Puberty;puberty transition;public health relevance;relating to nervous system;Research;Research Domain Criteria;Rest;Risk;Risk Factors;Sampling;Self Disclosure;Self Perception;Self-Examination;Self-Injurious Behavior;service intervention;Sex Characteristics;social;Social Behavior;social cognition;Social Environment;Social Processes;Statistical Models;Structure;Symptoms;Syndrome;System;Techniques;Testing;Time;Translating;treatment program;</t>
  </si>
  <si>
    <t>PUBLIC HEALTH RELEVANCE: Because the transition from childhood to adolescence is a key inflection point in mental health across the lifespan, understanding the core mechanisms associated with adolescent-emergent mental health problems during this phase of life will not only enhance our knowledge of how mental illness emerges in vulnerable individuals, but also enable it to be translated into developmentally targeted approaches to early intervention and prevention. This study will provide a comprehensive picture of the pubertal, neurodevelopmental, and social psychological changes occurring during early adolescence, and their relationship to the emergence of mental health problems, so that modifiable, developmentally specific risk factors can be identified as targets for early intervention and prevention efforts. The ultimate goal is to build novel, developmentally targeted and biologically informed prevention and intervention services that leverage developmental plasticity to help all children, as well as those at higher risk, navigate the transition into and through adolescence with fewer mental health problems.</t>
  </si>
  <si>
    <t>RFA-MH-15-500</t>
  </si>
  <si>
    <t>107418</t>
  </si>
  <si>
    <t>Special Emphasis Panel (ZMH1-ERB-S (03))</t>
  </si>
  <si>
    <t>PFEIFER, JENNIFER HOPE</t>
  </si>
  <si>
    <t>079289626</t>
  </si>
  <si>
    <t>6297005</t>
  </si>
  <si>
    <t>UNIVERSITY OF OREGON</t>
  </si>
  <si>
    <t>EUGENE</t>
  </si>
  <si>
    <t>97403-5219</t>
  </si>
  <si>
    <t>Adolescent Sexual Activity;Behavioral and Social Science;Brain Disorders;Clinical Research;HIV/AIDS;Health Services;Infectious Diseases;Mental Health;Pediatric;Pediatric AIDS;Prevention;Sexually Transmitted Diseases/Herpes</t>
  </si>
  <si>
    <t xml:space="preserve">   DESCRIPTION (provided by applicant): Adolescents with mental health (MH) disorders (MHD) have higher rates of HIV/STI sexual risk behaviors than those in the general population. In Brazil, youth testing positive for HIV had more MH problems than HIV- negative youth; HIV/STI sexual risk reduction is not regularly implemented within MH care for adolescents. The Brazil Ministry of Health has funded members of our team to conduct a regional needs-assessment to implement evidence-based HIV prevention interventions as a pilot for future country-wide dissemination in settings providing MH care (APQ-01246-10; PI: Guimaraes). Our NIMH-funded RCT in Rio de Janeiro (Rio; R01MH065163; PI: Wainberg) promises to provide such intervention for adults with MHD. A comparable evidence-based HIV/STI prevention intervention for adolescents is not available in Brazil; this application targets this need. We propose to a) adapt a U.S. efficacious family-based HIV prevention intervention for youth with MHD (STYLE; R01MH63008; PI: Brown) within the three types of settings providing most of the care to adolescents with MHD in Brazil; and b) pilot test the intervention to examine the acceptability, feasibility, and implementation parameters of the resulting Brazil intervention (STYLE-B) within these settings, and to determine key research parameters in preparation for an efficacy RCT. Using quantitative and qualitative methods we will explore the contextual influences on sexual risk behavior of Brazilian youth ages 13-18 with MHD to inform intervention adaptation; we will leverage the sample of Itaborai Youth (PI: Bordin), a study addressing MH resources for adolescents in Itaborai, a city that is part of the Rio metropolitan area, where we have identified risk. We will then pilot-test STYLE-B with a sample of male and female youth age 13-18 years (n=144) with MHD who are in MH treatment in four community-based sites. Youth/caregiver dyads will receive a full-day group session, return in two weeks for an adolescent/caregiver dyad session, and participate in a half-day group session three months later. Acceptability and feasibility will be assessed using process measures after each session. We will assess change in sexual risk behavior outcomes from baseline to 3- months post-intervention. We will elucidate factors influencing intervention adoption (e.g., recruitment, referrals; resources; climate, readiness and capacity for intervention) within the three service systems for youth with MHD in Brazil. We will develop digital interactive technology to train intervention facilitators. The Brazilian MH/health delivery system with country-wide dissemination of antiretrovirals and focus on improving MH care and HIV/STI prevention among youth with MHD, and the government's involving members of our team in these initiatives indicate that STYLE-B has likelihood of being implemented nationally. Our proposal sets the stage for STYLE-B efficacy testing within real-world MH community service systems, which are the most common settings of MH service delivery both in high- and low-resource areas in Brazil, the US and worldwide.      </t>
  </si>
  <si>
    <t>Acquired Immunodeficiency Syndrome;Address;Adolescence;Adolescent;Adoption;Adult;Age;aged;AIDS prevention;Alcohol or Other Drugs use;Anal Sex;Anti-Retroviral Agents;Area;Attention;base;Behavior monitoring;Brazil;Caregivers;Caring;Child;Cities;Climate;Clinic;Clinical Services;cohesion;Communication;Communities;community based participatory research;Community Mental Health Services;Community Services;condoms;Country;Data;Diagnosis;digital;Disease;Educational Intervention;efficacy testing;efficacy trial;ethnographic method;evidence base;experience;Family;Family Process;Female;Focus Groups;Funding;Future;General Population;Goals;Government;Health;health care delivery;Health Resources;Health Services Research;Health system;Healthcare;high risk;HIV;HIV risk;HIV Seropositivity;HIV/STD;Human immunodeficiency virus test;improved;Incidence;Individual;innovation;Intervention;Interview;Learning;male;meetings;member;Mental disorders;Mental Health;Mental Health Services;Methods;metropolitan;Modeling;National Institute of Mental Health;Needs Assessment;Outcome;Outpatients;Pharmaceutical Preparations;Policy Maker;Population;post intervention;Preparation;Prevention;Prevention program;Prevention Research;Preventive Intervention;Process Measure;programs;Provider;Public Health;Qualitative Methods;Randomized;Readiness;Research;Research Project Grants;Resources;response;Risk;Risk Reduction;Risk-Taking;Role;safer sex;Sampling;Self Efficacy;Services;sex;sex risk;Sexuality;Site;skills;social;Staging;Supervision;System;Technology;Teenagers;Testing;tool;Training;Vagina;working group;Youth;</t>
  </si>
  <si>
    <t>Adolescents with mental health disorders are at substantial risk for acquiring HIV/STIs compared to their counterparts without mental disorders, yet few HIV/STI sexual risk reduction interventions have been developed to meet their unique needs. There is clear public health need for innovative methods of service delivery and effective strategies of HIV/STI sexual risk reduction that addresses multiple contexts of risk (i.e. family) for this high-risk population. Brazil, previously successful in the country-wide dissemination of antiretrovirals, is now focused on improving youth mental health care and HIV/STI prevention among individuals with mental health disorders, calling for efficacious HIV/STI sexual risk reduction interventions to be implemented nationally. The current proposal addresses this need by adapting a U.S. efficacious, provider- delivered, HIV/STI sexual risk reduction intervention to be implemented in outpatient mental health public settings in Brazil that will: 1) build the clinic' capacity to help families under their care to more comfortably address the adolescent's sexuality; 2) promote youth's safer sex practices; and 3) reduce HIV/STI sexual risk behaviors among adolescents with mental health problems. Lessons learned from the proposed project are likely to inform an efficacy trial and the implementation of interventions within Brazil and elsewhere.</t>
  </si>
  <si>
    <t>19-MAY-2014</t>
  </si>
  <si>
    <t>094163</t>
  </si>
  <si>
    <t>3-AUG-2012</t>
  </si>
  <si>
    <t>Special Emphasis Panel (ZMH1-ERB-S (04))</t>
  </si>
  <si>
    <t xml:space="preserve">WAINBERG, MILTON L </t>
  </si>
  <si>
    <t>DUARTE, CRISTIANE S</t>
  </si>
  <si>
    <t>Basic Behavioral and Social Science;Behavioral and Social Science;Brain Disorders;Clinical Research;Drug Abuse (NIDA only);Mental Health;Mental Illness;Neurosciences;Pediatric;Substance Abuse</t>
  </si>
  <si>
    <t>﻿   DESCRIPTION (provided by applicant): Despite significant recent breakthroughs in our understanding of the neurobiological mechanisms involved in substance use (SU) and addiction, progress remains modest toward integrative knowledge on how psychosocial, neurocognitive, and neurobiological risk factors jointly influence SU initiation, escalation, and addiction, and how they are affected in return. The complexity of SU behaviors, their emergence during critical periods of neurodevelopment, and their strong linkages with physical and mental health, demands a comprehensive large- scale, prospective longitudinal study that begins with youth prior to initiation of SU and that incorporates genetic, psychosocial, cultural, neuropsychological, and neuroimaging measures. The aims of this study align with those of the Adolescent Brain Cognitive Development (ABCD) Study Consortium as set forth in RFA-DA-15-015. These are to: (1) Establish how diverse patterns of SU use impact the structure and function of the developing brain; (2) Identify the impact of SU use on health, psychosocial development, neurocognition, academic achievement, motivation, and emotional regulation; (3) Understand how SU and addiction affect the onset, course, and severity of psychopathology, and vice versa; (4) Identify factors that influence trajectories of SU and its consequences; and (5) Establish how use of one substance contributes to use of other substances. As the largest ethnic minority group in the US, Latinos merit a significant position in the enrollment plan for th ABCD study. The Florida International University (FIU) ABCD site will uniquely contribute to achieving these aims and enhance their impact and significance through enrollment of 900 multi-ethnic Latino youth from South Florida who will be 9 to 10 years old at baseline and substance naïve. The vast majority of our sample will be normally developing, but 30% will have a diagnosis of a disruptive behavior disorder (DBD; i.e., ADHD, Conduct Disorder, or Oppositional Defiant Disorder) to increase likelihood of observing initiation and escalation of SU in the sample and to better understand mechanisms accounting for the strong linkages between DBDs and SU trajectories. Furthermore, multidimensional assessment of cultural factors at the individual, intra-familial, and community level in this unique sample, will allow for characterization of how dynamic relationships between cultural factors (e.g., acculturation and biculturalism) influence SU initiation, escalation, and addiction, as well as underlying mechanisms. Participants will complete six assessment waves during the first 5 years of the study, which includes detailed assessments of SU and various psychosocial, cultural, neuropsychological, and neuroimaging measures. In conjunction with the ABCD Coordinating Center, Data Center, and selected sites, this study will reveal how psychosocial (including cultural), neurocognitive, and neurobiological factors dynamically interact to influence SU trajectories during development from childhood through adolescence and into young adulthood. The findings of the ABCD Study will further NIDA's mission to apply cutting-edge science to issues of SU and addiction in order to inform policy and improve prevention and treatment.</t>
  </si>
  <si>
    <t>10 year old;Academic achievement;Accounting;Acculturation;addiction;Adolescence;Adolescent;Affect;Age;Alcohol or Other Drugs use;Area;Attention deficit hyperactivity disorder;Behavior;Brain;Cereals;Childhood;Cities;Cognition;cognitive development;Communities;Conduct Disorder;Country;critical period;Data;Data Coordinating Center;Development;Diagnosis;Disruptive Behavior Disorder;emotion regulation;Enrollment;Environmental Risk Factor;ethnic diversity;ethnic minority population;executive function;Exhibits;experience;Family;Florida;Genetic;Goals;Health;Hispanic-serving Institution;Hispanics;Immigrant;improved;Individual;International;Knowledge;Latin America;Latino;Longitudinal Studies;Measurement;Measures;Mental Health;Minority Groups;Mission;Motivation;neurobiological mechanism;Neurobiology;Neurocognition;Neurocognitive;neurodevelopment;neuroimaging;neuropsychological;offspring;Oppositional Defiant Disorder;Participant;Pathway interactions;Pattern;Pharmaceutical Preparations;physical conditioning;Policies;Population;Positioning Attribute;Prevention;prospective;Psychological Factors;Psychopathology;psychosocial;psychosocial development;Psychosocial Factor;racial and ethnic;Recruitment Activity;resilience;reward processing;Risk;Risk Factors;Role;Sampling;Sampling Studies;Science;Severities;Site;Specific qualifier value;Structure;Substance Addiction;Substance Use Disorder;Symptoms;Time;United States;Universities;young adult;Youth;</t>
  </si>
  <si>
    <t>PUBLIC HEALTH RELEVANCE: Substance use often begins and escalates during adolescence, bringing with it many negative consequences. This study will help improve policy, treatment, and prevention of substance use and addiction by studying how brain differences, mental health, cognition, culture, and other psychological and environmental factors change over time and contribute to substance use and addiction.</t>
  </si>
  <si>
    <t>27-MAY-2016</t>
  </si>
  <si>
    <t>RFA-DA-15-015</t>
  </si>
  <si>
    <t>041156</t>
  </si>
  <si>
    <t>DEEDS, BETHANY</t>
  </si>
  <si>
    <t>30-SEP-2015</t>
  </si>
  <si>
    <t>Special Emphasis Panel (ZRG1-PSE-D (51)R)</t>
  </si>
  <si>
    <t xml:space="preserve">GONZALEZ, RAUL  </t>
  </si>
  <si>
    <t>LAIRD, ANGELA R</t>
  </si>
  <si>
    <t>26</t>
  </si>
  <si>
    <t>071298814</t>
  </si>
  <si>
    <t>513809</t>
  </si>
  <si>
    <t>FLORIDA INTERNATIONAL UNIVERSITY</t>
  </si>
  <si>
    <t>MIAMI</t>
  </si>
  <si>
    <t>33199-0001</t>
  </si>
  <si>
    <t>ABSTRACTSIMmersion LLC, in collaboration with Drs. Galupo, Schmidt, Matsuno, Bettergarcia, Hernández, Mastroleo, andKukucka, is proposing to develop and evaluate Training Trans-Affirmative Communication Skills (TTACS), asuite of conversation simulations that provide mental health care providers with experience working withTransgender and gender nonconforming (TGNC) individuals. The proposed product utilizes SIMmersion’sPeopleSim® conversation software that has already been proven to improve clinical skills in a variety of areas.The diverse development team, which includes TGNC individuals and people of color at every level of input(including Key Personnel, Expert Panel, Actors, Focus Group, and Community Partners) will design and createfour modules within TTACS that allow mental health care clinicians and clinicians-in-training to develop gender-affirming communication skills for clients with diverse needs. TTACS modules will focus on Intake, TraditionalNeeds, High-Risk Needs, and Social and Physical Transitions, and the fictional characters in the training will berepresented by a diverse group of actors from the trans community. The proposed TTACS provides an innovativeresponse to the call for training initiatives for implementing the American Psychological Association (APA)guidelines for trans-affirmative, culturally competent, and developmentally appropriate care into psychologicalpractice for TGNC people.During Phase I of the fast-track research, the team will evaluate the feasibility of using a PeopleSim training toimprove clinicians’ skills at meeting the needs of TGNC individuals. The team will create a design plan for theentire TTACS system (Aim 1), develop the Intake module (Aim 2), conduct a within-group pre-post knowledgeassessment with clinicians-in-training (Aim 3a), and a focus group discussion with key decision makers andsupervisors (Aim 3b). Success in Phase I will lead directly into Phase II development of the remaining TTACSmodules (Aim 1) and the development of Standardized Patient Scenarios and checklists for evaluating the skillsof clinicians-in-training working with TGNC clients (Aim 2), which will be used in a Randomized Controlled Trial(Aim 3) with 100 students enrolled in clinical and counseling psychology graduate programs. The team plans tobegin commercializing TTACS (Aim 4) to university programs, independent training organizations, health carecenters, and professional organizations, starting with the individuals and organizations that provided letters ofsupport. If successful, the proposed research could help reduce the patterns of mistreatment, discrimination, andphysical and mental health disparities TGNC individuals experience when they seek mental health care.</t>
  </si>
  <si>
    <t>American;American Psychological Association;Area;Award;Awareness;Caring;cisgender;Client;Client satisfaction;Clinical;Clinical Skills;Collaborations;collaborative environment;Color;commercialization;Communication;Communities;Complex;Computer software;Control Groups;cost effective;Counseling;Cues;cultural competence;Dehumanization;design;Development;Discrimination;disparity reduction;Educational Materials;Educational process of instructing;Enrollment;experience;Face;Feedback;Focus Groups;Future;Gatekeeping;Gender;gender diversity;gender nonconforming;Grant;Guidelines;health care settings;health disparity;Health Personnel;Health Professional;Healthcare;help-seeking behavior;high risk;Hour;Human Resources;improved;Individual;innovation;Intake;Interruption;Knowledge;Lead;Learning;Letters;Link;Logic;maltreatment;Marketing;medically necessary care;meetings;Mental Health;mental training;Names;Outcome;Participant;Patients;Pattern;Phase;physical conditioning;Play;Positioning Attribute;Prejudice;Process;Professional Organizations;programs;psychologic;Psychology;Randomized;Randomized Controlled Trials;Recommendation;recruit;Reporting;Research;Research Project Grants;response;Role;satisfaction;Severities;simulation;skill acquisition;skills;skills training;social;Speech Recognition Software;Standardization;Students;success;Symptoms;System;Technology;tool;Training;Training Activity;transgender;Universities;Writing;</t>
  </si>
  <si>
    <t>PROJECT NARRATIVE Transgender and Gender Nonconforming (TGNC) individuals experience both physical and mental health disparities when compared to their cisgender counterparts. The skills required to provide gender-affirming, culturally competent care require extensive practice with feedback, which is difficult to obtain. The proposed research will produce an innovative training tool with the potential to increase learning and retention of knowledge, skills, awareness, and cultural competency among clinicians, thereby benefiting their TGNC clients and reducing the disparities they experience in health care settings.</t>
  </si>
  <si>
    <t>8-AUG-2019</t>
  </si>
  <si>
    <t>RFA-MD-18-009</t>
  </si>
  <si>
    <t>R44</t>
  </si>
  <si>
    <t>014112</t>
  </si>
  <si>
    <t>DAGHER, RADA KAMIL</t>
  </si>
  <si>
    <t>Special Emphasis Panel (ZMD1-XLN (J1))</t>
  </si>
  <si>
    <t>OLSEN, DALE EDWARD</t>
  </si>
  <si>
    <t>128822736</t>
  </si>
  <si>
    <t>10005047</t>
  </si>
  <si>
    <t>SIMMERSION, LLC.</t>
  </si>
  <si>
    <t>COLUMBIA</t>
  </si>
  <si>
    <t>21046-3039</t>
  </si>
  <si>
    <t>American Indian or Alaska Native;Behavioral and Social Science;Brain Disorders;Clinical Research;Clinical Trials and Supportive Activities;Depression;Health Disparities;Health Services;Injury (total) Accidents/Adverse Effects;Injury - Childhood Injuries;Mental Health;Minority Health;Pediatric;Prevention;Rural Health;Suicide;Suicide Prevention</t>
  </si>
  <si>
    <t>PROJECT SUMMARY/ABSTRACTThis Diversity Supplement will build on prior research of Indigenous scholar, Teresa Brockie, PhD(White Clay Nation, MT), that identified culturally-informed risk and protective factors for youth suicide on theFort Peck Indian Reservation, home to the Assiniboine and Sioux tribes. It will allow Dr. Brockie to gaindidactic and applied skills in implementation science, while working with the experienced multi-disciplinarystudy team of the Parent Grant to extend the Hub research to Fort Peck. The overall goal of the Parent Grant,the NIMH-funded U19MH113136 Southwest Hub for American Indian Youth Suicide Prevention Research, isto identify effective, feasible and sustainable interventions to prevent suicide and promote resilience amongNative American youth. The core research builds on 20+ years of behavioral and mental health researchbetween the Johns Hopkins Center for American Indian Health and the White Mountain Apache Tribe(WMAT). Parent Grant primary aims include: 1) identification and case management of youth 10-24 years oldwith a recent suicide attempt, ideation, or binge substance use through the evidence-based WMAT CelebratingLife Surveillance and Case-Management system, and 2) to study two brief interventions delivered byindigenous community mental health workers to a) improve linkages to care after a suicide-related event, andb) promote resilience through traditional teachings by Elders. A Sequential Multiple Assignment RandomizedTrial design will dismantle how to sequence and tailor the brief interventions to address individuals’ immediateneeds and characteristics. A secondary aim is to work with other Southwest Hub partners (Navajo, San CarlosApache, Hualapai, and Cherokee Nations) to adapt the Celebrating Life system, incorporating local culturally-based knowledge of risk and protective factors, as well as facilitators and barriers to implementation andsustainability. This Diversity Supplement will support Dr. Brockie in extending this work to Fort Peck, aNorthern Plains reservation in Montana, with high rates of youth suicide. Her aims are to: 1) adapt existingCelebrating Life Surveillance and Case-Management forms for the Fort Peck community and cultural context,2) utilize two methods: a) community asset mapping and b) the Program Sustainability Assessment Tool todesign an implementation and sustainability plan for Fort Peck, and, 3) to develop implementation science andmixed methods research skills for future suicide research.</t>
  </si>
  <si>
    <t>Address;Alaska Native;Alcohol or Other Drugs use;American Indians;Apache;Applied Skills;Assessment tool;base;behavioral health;brief intervention;care systems;career;Caring;Case Management;Characteristics;Cherokee Indian;clay;Collaborations;Communities;Data;data management;Demographic Factors;design;dissemination research;Doctor of Philosophy;Educational process of instructing;Elderly;Enrollment;Event;evidence base;experience;Feeling hopeless;Funding;Future;Geographic Factor;Goals;healing;Health;health care settings;Health Sciences;Health system;health training;Home environment;ideation;implementation research;implementation science;improved;Impulsivity;Indian reservation;Indigenous;indigenous community;Individual;Institutes;Intake;Intervention;Intervention Studies;Knowledge;Life;Maps;meetings;Mental Depression;Mental Health;Mental Health Services;Mentors;Methods;Modality;Montana;multidisciplinary;National Institute of Mental Health;Native Americans;native youth;Navajo;northern plains;parent grant;Pathway interactions;Population;preference;Prevention Research;Program Sustainability;protective factors;Provider;Public Health Schools;Qualitative Research;Race;randomized trial;Research;research data dissemination;Research Methodology;Research Project Grants;Research Training;Reservations;resilience;Resources;Risk Factors;Risk Reduction;School Nursing;self esteem;service providers;Sioux Indians;skills;Societies;Suicide;Suicide attempt;Suicide prevention;suicide rate;surveillance data;symposium;System;therapy development;tool;Training;Trauma;trial design;Tribes;United States National Institutes of Health;White Mountain Apache;Work;Youth;</t>
  </si>
  <si>
    <t>NARRATIVE This Diversity Supplement will expand the Southwest Hub for American Indian Youth Suicide Prevention Research to the Fort Peck Indian Reservation, while developing the independent research career of Teresa Brockie, PhD, RN, FAAN (White Clay Nation). She will receive mentoring and apply new training in qualitative research and implementation science to help Fort Peck adapt a suicide surveillance and case management system to address youth suicide.</t>
  </si>
  <si>
    <t>4-SEP-2018</t>
  </si>
  <si>
    <t>PA-18-586</t>
  </si>
  <si>
    <t>113136</t>
  </si>
  <si>
    <t>20-JUN-2017</t>
  </si>
  <si>
    <t>31-MAY-2022</t>
  </si>
  <si>
    <t>Special Emphasis Panel (ZMH1 (02))</t>
  </si>
  <si>
    <t xml:space="preserve">CWIK, MARY  </t>
  </si>
  <si>
    <t>BARLOW, MARY ALLISON</t>
  </si>
  <si>
    <t>001910777</t>
  </si>
  <si>
    <t>4134401</t>
  </si>
  <si>
    <t>JOHNS HOPKINS UNIVERSITY</t>
  </si>
  <si>
    <t>BALTIMORE</t>
  </si>
  <si>
    <t>21205-1832</t>
  </si>
  <si>
    <t>Alcoholism;Behavioral and Social Science;Brain Disorders;Depression;Drug Abuse (NIDA only);Mental Health;Pediatric;Prevention;Substance Abuse;Underage Drinking</t>
  </si>
  <si>
    <t>The proposed research examines cross-sectional and longitudinal relationships of depression and conduct problems to use of marijuana, cigarettes, and alcohol in an understudied population, African-American adolescents. Data from this project are drawn from two unique studies: Monitoring the Future (MTF), a large, national study of substance use and related constructs and SCHOO-BE, a laboratory study of substance use and mental health in a large sample of urban African American adolescents. This project maximizes the respective advantages of survey and laboratory research by exploring longitudinal relationships of substance use and mental health and their potential common underlying mechanisms, with two aims. First, this research aims to examine the cross-sectional relationships between depression, conduct problems, and marijuana, cigarette, and alcohol use in two African American adolescent samples: SCHOO-BE and a demographically comparable sample selected from MTF. Second, this research aims to further characterize the relationships of mental health symptoms to substance use, capitalizing on strengths of each dataset by conducting longitudinal analysis in MTF of depression and conduct problems predicting future marijuana, cigarette, and alcohol use, and by testing a mediation model in SCHOO-BE in which conduct problems and depression mediate the relationship between parental support and marijuana, cigarette, and alcohol use.  The current project will contribute important knowledge on the developmental trajectories of substance use in African-American adolescents. This population is underrepresented in the extant literature, and results of studies of non-African-American samples cannot be assumed to generalize to them. Research to date has revealed that African-Americans are more likely to experience substance-related problems such as substance use disorder and negative health consequences despite lower rates of use during adolescence. However, the role of mental health, specifically depression and conduct problems, in African-Americans' marijuana, cigarette, and alcohol use and their progression to problematic use has not yet been elaborated. The findings yielded by the proposed research will have immediate relevance for culturally specific prevention and intervention programs to reduce substance use by African-American youth by targeting mental health symptoms.  The research training component of the project is centered on three training goals for the Principal Investigator, Julie Maslowsky: to increase grant and manuscript writing skills, expand empirical skills, and further develop her multidisciplinary professional network. The training will be accomplished over two years via a rigorous program of courses and workshops that teach the skills Julie wishes to learn, individual and lab meetings where she receives guidance on her research progress and her professional development, collaboration with colleagues from multiple disciplines, and presentations at the major multidisciplinary conferences in the field. Receipt of this training will prepare her well for her intended career as an independent developmental science researcher.</t>
  </si>
  <si>
    <t>Adolescence;Adolescent;African American;Age;Alcohol consumption;Alcohol or Other Drugs use;Alcohols;American;Birth;career;Caucasians;Caucasoid Race;Cigarette;Collaborations;Data;Data Set;Development;Developmental Process;Discipline;early onset substance use;Educational process of instructing;Educational workshop;experience;Future;Goals;Grant;Health;Individual;intervention program;Knowledge;Laboratory Research;Laboratory Study;Learning;Life;Literature;longitudinal analysis;Longitudinal Studies;Low income;Manuscripts;Marijuana;Marijuana Smoking;Measures;Mediating;Mediation;meetings;Mental Depression;Mental Health;Modeling;Monitor;multidisciplinary;Parenting behavior;Pathway interactions;Population;Prevalence;Prevention program;Preventive Intervention;Principal Investigator;programs;Research;Research Personnel;Research Training;Risk;Role;Sampling;Science;skills;Students;Substance Use Disorder;Surveys;symposium;Symptoms;Testing;Time;Training;underage drinking;Writing;young adult;Youth;</t>
  </si>
  <si>
    <t>PROJECT NARRATIVE  By adding to our knowledge of the relationships between substance use and mental health in African-American adolescents, this research will illuminate an important pathway into early substance use in this population. The knowledge gained will reveal specific developmental processes that can be targeted for prevention and intervention to mitigate the harmful consequences of early substance use.</t>
  </si>
  <si>
    <t>16-APR-2012</t>
  </si>
  <si>
    <t>PA-09-208</t>
  </si>
  <si>
    <t>029335</t>
  </si>
  <si>
    <t>1-MAY-2010</t>
  </si>
  <si>
    <t>31-JUL-2012</t>
  </si>
  <si>
    <t>Special Emphasis Panel (ZRG1-F11-B (20)L)</t>
  </si>
  <si>
    <t>MASLOWSKY, JULIE M</t>
  </si>
  <si>
    <t>1-MAY-2012</t>
  </si>
  <si>
    <t>Behavioral and Social Science;Clinical Research;Drug Abuse (NIDA only);Infectious Diseases;Pediatric;Prevention;Sexually Transmitted Diseases/Herpes;Substance Abuse</t>
  </si>
  <si>
    <t xml:space="preserve">  DESCRIPTION (provided by applicant):  This proposal is designed to examine the long-term effects of an evidence-based competence-enhancement universal school-based prevention program that was delivered to urban minority youth attending middle schools in New York City. The long-term effects of the intervention on alcohol, tobacco, and illicit drug use will be tested, as well as whether the effects generalize to a variety of sexual risk behaviors among participants as young adults. Previous research has shown that the model prevention program, Life Skills Training (LST), produces positive behavioral effects on substance use and other outcomes with effects lasting until the end of high school in suburban White samples. The intervention teaches young people important social and cognitive skills that can help them master various developmental tasks. This may in turn increase resilience to the social, environmental, and psychological forces that promote and maintain a variety of negative health behaviors that share similar risk and protective factors. Several alternate hypothesized mechanisms that are closely tied to the LST intervention content will be tested to investigate how participation in the intervention may reduce later risky substance use and sexual risk behaviors. Recently published data from a separate sample of suburban White young adults are presented showing that LST slowed growth in alcohol and marijuana intoxication rates during adolescence, which in turn predicted a later reduction in HIV risk behaviors, as defined as having sex while intoxicated. In the proposed study, follow-up telephone interviews will be administered to the cohort of young adults that participated in a randomized trial of LST during adolescence. The sample represents an understudied group of predominantly minority, economically disadvantaged youth in New York City. Participants will be approximately 3500 young adults ages 21-23 who will be interviewed 5 years following their most recent data collection. Individuals in 20 treatment schools received the 30 session prevention program; students in 21 control schools did not. Participants were surveyed annually through the 12th grade with measures of risk behavior and psychosocial risk factors. The proposed study extends work on the long-term effectiveness of LST and offers the potential of identifying an intervention that produces long-term effects for multiple outcomes. The proposed study also provides critical information on the etiology of risk behaviors during the transition to young adulthood in an understudied population of urban minority young adults who have been followed since early adolescence.       </t>
  </si>
  <si>
    <t>21 year old;Accounting;Acquired Immunodeficiency Syndrome;Address;Adolescence;adolescent alcohol;adolescent drug abuse;Age;Alcohol or Other Drugs use;Alcohols;anti social;Attitude;base;Behavior;Behavioral;Cognition;Cognitive;cohort;Competence;condoms;Data;Data Collection;design;Development;Doctor of Philosophy;Drug abuse;drug abuse prevention;Drug usage;early adolescence;Economically Deprived Population;Educational Intervention;Educational process of instructing;Effectiveness;emerging adult;emerging adulthood;Epidemic;Etiology;Event;evidence base;follow-up;Follow-Up Studies;Funding;Future;Gender;Growth;Health behavior;high risk;high risk behavior;high risk sexual behavior;high school;HIV;Illicit Drugs;Individual;inner city;Intervention;intervention effect;Interview;Intoxication;Life;Long-Term Effects;Marijuana;Measures;Mediating;middle school;Minority;Modeling;Monitor;Motivation;New York City;Outcome;Participant;Peer Review;Pharmaceutical Preparations;Population;pressure;Prevention;Prevention approach;Prevention program;Prevention Research;Procedures;programs;psychologic;psychosocial;Publications;Publishing;Randomized Controlled Clinical Trials;Reproductive Health;Research;Research Methodology;Research Personnel;resilience;Risk;Risk Behaviors;Risk Factors;Risk-Taking;Role;Rural;Sampling;Schools;sex;Sex Behavior;Sex Characteristics;sex risk;skills;skills training;social;socioeconomics;Students;suburb;Surveys;Target Populations;Telephone Interviews;Testing;Tobacco;universal prevention;Urban Population;Work;young adult;Youth;</t>
  </si>
  <si>
    <t>23-JUL-2009</t>
  </si>
  <si>
    <t>023890</t>
  </si>
  <si>
    <t>CRUMP, ARIA</t>
  </si>
  <si>
    <t>15-SEP-2007</t>
  </si>
  <si>
    <t>31-AUG-2011</t>
  </si>
  <si>
    <t>GRIFFIN, KENNETH W</t>
  </si>
  <si>
    <t>060217502</t>
  </si>
  <si>
    <t>1514803</t>
  </si>
  <si>
    <t>WEILL MEDICAL COLL OF CORNELL UNIV</t>
  </si>
  <si>
    <t>10065-4805</t>
  </si>
  <si>
    <t>1-SEP-2009</t>
  </si>
  <si>
    <t>Autoimmune Disease;Behavioral and Social Science;Clinical Research;Clinical Trials and Supportive Activities;Diabetes;Nutrition;Obesity;Pediatric;Prevention</t>
  </si>
  <si>
    <t>BackgroundType 2 diabetes mellitus (T2DM) is a condition characterized by insulin resistance and progressive failure of the insulin-secreting beta-cells.  Based on studies in small cohorts of young patients (especially Pima Indian offspring), we know that individuals with childhood onset T2DM are at very high risk for diabetes-related morbidity and mortality, due to a longer life-time duration of diabetes, as well as possible faster progression of beta-cell failure. Based on the currently largest available interventional trial, the TODAY study (Treatment Options for Diabetes in Adolescents and Youth), we know that standard medical treatments (e.g., diet, exercise, metformin) are prone to fail in most patients.Our study objectives are to acquire data on the natural history of T2DM in youth.  Measurements will include indices of beta-cell function, body composition, cardiovascular disease risk factors, gut hormones, adipokines, and psychological well-being.  These data will be compared to findings in non-diabetic volunteers who are lean or overweight/obese. The study will also allow us to collaborate with other investigators in order to investigate factors (e.g. body composition changes, effect of life-style changes (such as sleep)) that determine the progression to and outcome of type 2 diabetes.One specific goal is to investigate the effects of a new class of drugs, sodium glucose co-transporter 2 (SGLT2) inhibitors, on bone health and to learn more about their safety profile as compared to other hypoglycemic agents. Presently we are recruiting healthy individuals in order to elucidate the underlying mechanisms of drug action on bone metabolism. In the future, we are planning to widen the spectrum of study participants and include patients with diabetes and individuals at heightened risk for bone fractures.A third objective is to continue clinical follow-up of patients who participated in Type 1 Diabetes related clinical trials (specifically: islet transplantation) conducted between 2000 and 2006. We are also analyzing and sharing stored samples (e.g., serum and plasma)in order to learn about predictors of beta cell loss.</t>
  </si>
  <si>
    <t>Acute;adipokines;Adolescent;Adolescent and Young Adult;Adult;Affect;base;Beta Cell;biomarker identification;Body Composition;bone health;bone metabolism;cardiovascular disorder risk;Cell physiology;Child;Childhood;Clinical;Clinical Trials;cohort;Complications of Diabetes Mellitus;Data;Development;Diabetes Mellitus;diabetes risk;diet and exercise;Disease;Drug effect disorder;Early identification;Enrollment;Failure;follow-up;Fracture;Functional disorder;Future;Glucose;glucose metabolism;Goals;high risk;Hormones;Hypoglycemic Agents;improved;indexing;Individual;inhibitor/antagonist;insight;Insulin;Insulin Resistance;Insulin-Dependent Diabetes Mellitus;Intervention Trial;Islets of Langerhans Transplantation;Learning;Life;Life Style;lipid metabolism;Lipodystrophy;Measurement;Medical;Metabolic;Metformin;Morbidity - disease rate;mortality;Natural History;non-diabetic;Non-Insulin-Dependent Diabetes Mellitus;novel;novel drug class;Obesity;Other Genetics;Outcome;Overweight;Participant;Patients;Pharmaceutical Preparations;Physiology;pigment epithelium-derived factor;PIK3CA gene;Plasma;psychologic;Recruitment Activity;Regulation;Research Personnel;Risk;Risk Factors;Safety;Sampling;Serum;Sleep;Sodium;symporter;Syndrome;Thinness;Time;type 2 diabetes in children;volunteer;Work;young adult;Youth;</t>
  </si>
  <si>
    <t>NIDDK</t>
  </si>
  <si>
    <t>DK</t>
  </si>
  <si>
    <t>047049</t>
  </si>
  <si>
    <t>11</t>
  </si>
  <si>
    <t>REITMAN, MARC L</t>
  </si>
  <si>
    <t>Academic Medical Centers;Address;Adherence;Adolescence;Adolescent;adolescent health;Adult;Age;age group;antiretroviral therapy;base;Behavior;Behavioral;Biometry;career;career development;Caring;Child;Childhood;Chronic stress;Clinic;clinical care;Clinical Psychology;Clinical Trials;Cognitive;Cognitive Therapy;Collaborations;common treatment;Communicable Diseases;Comorbidity;Data;depressive symptoms;design;Development Plans;Disclosure;Disease;Educational Curriculum;Emotional;Enrollment;Event;evidence base;experience;Faculty;Feasibility Studies;Focus Groups;Future;Gender;global health;Goals;Grant;Group Therapy;Hair;Health;Health education;health inequalities;Health Personnel;Health Policy;Health Professional;High Prevalence;HIV;HIV Seropositivity;HIV-1;HIV-infected adolescents;improved;improved outcome;Institutes;interdisciplinary approach;Intervention;Language;Lead;Life;Master of Science;Measures;Medical;Medical center;Mental Depression;Mental Health;Mental Health Services;mental training;Mentors;Mentorship;Modeling;Morbidity - disease rate;mortality;multidisciplinary;novel;Orphan;Outcome;Participant;patient oriented research;Pediatrics;perinatal HIV;Pharmaceutical Preparations;physical conditioning;Physicians;post-traumatic stress;Prevalence;Prevention;Professional counselor;professor;programs;Protocols documentation;Psychiatrist;psychologic;psychological symptom;Psychologist;psychosocial;Psychotherapy;public health relevance;Questionnaires;Randomized;Randomized Controlled Trials;Reporting;Research;Research Methodology;Research Personnel;Resources;Risk;RNA;Sampling;scale up;sexual HIV transmission;Sexuality;sexually active;Site;skills;skills training;Stress;Structure;Symptoms;Tanzania;Teenagers;Therapeutic;Therapeutic Intervention;therapy adherence;tool;Training;Training Programs;Translating;Trauma;Treatment Efficacy;trial design;Universities;Viral;virology;Vulnerable Populations;Work;Youth;</t>
  </si>
  <si>
    <t>PUBLIC HEALTH RELEVANCE: This project aims to address the mental health treatment gap that exists in the HIV youth clinic in Moshi, Tanzania with the goal of improving adherence to antiretroviral therapy (ART) and HIV outcomes. Addressing this treatment gap is highly relevant in two important ways. First, improved ART adherence is important not only for one's own health, but as these youth become sexually active, it also decreases the risk of sexual transmission of HIV to their partners. Second, as perinatally HIV-infected children age into adolescence, their mental health difficulties and traumatic experiences must be addressed to facilitate a healthy and productive adulthood.</t>
  </si>
  <si>
    <t>FIC</t>
  </si>
  <si>
    <t>10-JUN-2019</t>
  </si>
  <si>
    <t>PAR-13-072</t>
  </si>
  <si>
    <t>TW</t>
  </si>
  <si>
    <t>009985</t>
  </si>
  <si>
    <t>BANSAL, GEETHA PARTHASARATHY</t>
  </si>
  <si>
    <t>1-JUL-2015</t>
  </si>
  <si>
    <t xml:space="preserve">International and Cooperative Projects - 1 Study Section (ICP1) </t>
  </si>
  <si>
    <t>DOW, DOROTHY E.</t>
  </si>
  <si>
    <t>989</t>
  </si>
  <si>
    <t>Address;Adolescent;Adult;Affect;Agonist;Androgens;Animal Model;Animals;Architecture;Assisted Reproductive Technology;base;body system;Breeding;Caring;Clinical;clinical practice;Clinical Research;clinically relevant;Conflict (Psychology);Counseling;Data;Defect;Development;Estradiol;Estrous Cycle;evidence base;experimental study;Female;Fertility;fertility preservation;Fertilization;Fertilization in Vitro;folliculogenesis;Foundations;Future;Gender Identity;gender transition;Goals;Gonadal Steroid Hormones;Gonadotropin Hormone Releasing Hormone;Histologic;Histology;hormone therapy;Hormones;Human;implantation;improved;Infertility;insight;International;Knowledge;Lead;male;Medical;Modeling;mouse model;Mus;Neurosecretory Systems;Observational Study;offspring;oocyte cryopreservation;Oocytes;Operative Surgical Procedures;Outcome;Ovarian;Ovarian Stimulations;Ovary;ovary transplantation;Patients;peripubertal period;Phenotype;Polycystic Ovary Syndrome;prenatal;prepuberty;Prevalence;Puberty;Recommendation;Regimen;Reproduction;reproductive;reproductive function;Reproductive Health;reproductive tract;Research;Research Personnel;response;Role;Serum;sex;Sex Characteristics;steroid hormone;Superovulation;Testing;Testosterone;Time;tool;transgender;transgender men;Translational Research;translational study;United States;</t>
  </si>
  <si>
    <t>There is a paucity of data on the effect of exogenously administered testosterone (T) for cross- sex hormone therapy on future reproductive function in transgender men, and no data on the long-term reproductive consequences of peripubertal treatment with gonadotropin-releasing hormone agonist followed immediately by T therapy (GnRHa-T) in transgender adolescents. Successful completion of the proposed research will 1) clarify the effect and reversibility of cross-sex T and GnRHa-T therapy on future reproductive function in our clinically-relevant female-to-male transgender model, and 2) lay the groundwork for researchers studying the effects of cross-sex T therapy on other aspects of reproduction, other organ systems, and transgenerational effects. The results from these experiments can stimulate further translational studies to inform clinical practice and counseling around timing and necessity of fertility preservation in transgender men.</t>
  </si>
  <si>
    <t>25-APR-2019</t>
  </si>
  <si>
    <t>PA-18-729</t>
  </si>
  <si>
    <t>098233</t>
  </si>
  <si>
    <t>EISENBERG, ESTHER</t>
  </si>
  <si>
    <t>30-APR-2024</t>
  </si>
  <si>
    <t>MORAVEK, MOLLY BENNETTE</t>
  </si>
  <si>
    <t>Basic Behavioral and Social Science;Behavioral and Social Science;Clinical Research;Health Disparities;Mental Health;Minority Health;Prevention;Sexual and Gender Minorities (SGM/LGBT*);Substance Abuse</t>
  </si>
  <si>
    <t>Address;Adolescence;adolescent health;Adult;Age;Alcohol abuse;Alcohols;base;Birth;Bisexual;bullying;Caring;Characteristics;cisgender;Communities;Complement;coping;Data;data archive;Data Collection;Data Set;data sharing;disability;Discrimination;Drug abuse;Education;Employment;Ethnic Origin;Event;Exhibits;expectation;experience;Female;Funding;Gays;gender disparity;Gender Identity;gender minority;genderqueer;General Population;Goals;Grant;Health;Health behavior;health disparity;Health Insurance;Health Surveys;Healthy People 2020;Heterosexuals;illicit drug use;Income;Individual;Information Systems;innovation;Insurance Coverage;interest;Knowledge;Lesbian;Life;Low income;low socioeconomic status;male;Mediating;men;Mental disorders;Mental Health;Methodology;Minority;Minority Groups;Monitor;Outcome;Pathway interactions;physical assault;physical conditioning;Population;population based;population health;Prejudice;Prevalence;Probability;Probability Samples;Procedures;Process;Public Health;Publications;Quality of life;Race;recruit;Reporting;Research;Research Personnel;resilience;Risk;Risk Behaviors;Role;rural area;Sampling;Self-Administered;sex;sexual assault;Smoking;social stigma;Social support;Source;Stress;Stress and Coping;stress resilience;stressor;Suicide;Surveys;Telephone;Time;Tobacco use;transgender;transgender men;transgender women;transphobia;Unemployment;Uninsured;Woman;</t>
  </si>
  <si>
    <t>Project Narrative Community based studies suggest that transgender individuals suffer increased risk for adverse health outcomes and risk behavior compared with the general U.S. population. However, to date, no nationally representative sample of transgender individuals has been studied. This proposal seeks to address this gap by studying a sample representative of U.S. transgender adults, assessing health disparities by comparing this sample with a sample of cisgender adults, and assessing minority stress pathways to health disparities.</t>
  </si>
  <si>
    <t>2-JAN-2018</t>
  </si>
  <si>
    <t>090468</t>
  </si>
  <si>
    <t>1-JAN-2017</t>
  </si>
  <si>
    <t>MEYER, ILAN H</t>
  </si>
  <si>
    <t>Address;Adolescent;adolescent health;adolescent suicide;Adoption;Advocate;Alcohol or Other Drugs use;base;Behavior;bullying;Caring;Centers for Disease Control and Prevention (U.S.);Child Health;child services;Childhood;cisgender;Collaborations;Communities;Community Health;Disadvantaged;Discrimination;Educational Curriculum;Environment;Evaluation;evidence base;Evidence based intervention;Evidence based practice;experience;Feedback;Focus Groups;Health;Health education;Health Educators;Health Personnel;Health Services;Healthcare;Heterosexuals;high school;High School Student;implementation science;Improve Access;improved;Individual;Infrastructure;innovation;Institute of Medicine (U.S.);Intervention;Intervention Studies;Interview;Knowledge;Lead;Leadership;Lesbian Gay Bisexual;Lesbian Gay Bisexual Transgender Intersex;member;Mental Depression;Mental Health;Methodology;Methods;Minority;minority student;Modeling;Monitor;New Mexico;NIH Program Announcements;novel;Nurse's Role;Nurses;nursing intervention;Nursing Schools;Outcome;peer;Policies;Population;population based;Positioning Attribute;Preparation;prevent;Preventive;Privatization;Process;Process Assessment;Professional counselor;Psyche structure;psychologic;Public Health;public health priorities;public health relevance;Qualitative Methods;Randomized Controlled Trials;reducing suicide;Reporting;Research;Research Institute;Resources;Risk;Role;Safety;school health;School Health Services;School Nursing;Schools;Sexual and Gender Minorities;sexual minority;skills;social;social stigma;Social Workers;Staff Development;Stress;Structure;Students;suicidal behavior;suicidal risk;Suicide;Surveys;System;Time;Training;Training and Education;treatment as usual;Underserved Population;United States National Institutes of Health;Universities;Violence;Vulnerable Populations;Youth;</t>
  </si>
  <si>
    <t>PUBLIC HEALTH RELEVANCE: Reducing youth suicide in the U.S. is a national public health priority. Sexual and gender minority adolescents are at elevated risk for suicide. Safer school environments, however, can decrease this risk. This study capitalizes on the critical role of school nurses in improving the mental health of this vulnerable population through implementation and sustainment of evidence-based strategies to enhance school environments. In addition to suicide, the conceptual framework and methods for this novel, nurse-led intervention can be applied to address the health-related concerns of other pediatric populations encountered in school settings as well.</t>
  </si>
  <si>
    <t>14-MAY-2019</t>
  </si>
  <si>
    <t>083399</t>
  </si>
  <si>
    <t>12-MAY-2016</t>
  </si>
  <si>
    <t>Special Emphasis Panel (ZRG1-HDM-X (03))</t>
  </si>
  <si>
    <t xml:space="preserve">WILLGING, CATHLEEN E. </t>
  </si>
  <si>
    <t xml:space="preserve">RAMOS, MARY </t>
  </si>
</sst>
</file>

<file path=xl/styles.xml><?xml version="1.0" encoding="utf-8"?>
<styleSheet xmlns="http://schemas.openxmlformats.org/spreadsheetml/2006/main">
  <numFmts count="0"/>
  <fonts count="2">
    <font>
      <sz val="11.0"/>
      <color indexed="8"/>
      <name val="Calibri"/>
      <family val="2"/>
      <scheme val="minor"/>
    </font>
    <font>
      <name val="Calibri"/>
      <sz val="11.0"/>
      <charset val="0"/>
      <color indexed="12"/>
      <u val="single"/>
    </font>
  </fonts>
  <fills count="2">
    <fill>
      <patternFill patternType="none"/>
    </fill>
    <fill>
      <patternFill patternType="darkGray"/>
    </fill>
  </fills>
  <borders count="1">
    <border>
      <left/>
      <right/>
      <top/>
      <bottom/>
      <diagonal/>
    </border>
  </borders>
  <cellStyleXfs count="1">
    <xf numFmtId="0" fontId="0" fillId="0" borderId="0"/>
  </cellStyleXfs>
  <cellXfs count="2">
    <xf numFmtId="0" fontId="0" fillId="0" borderId="0" xfId="0"/>
    <xf numFmtId="0" fontId="1" fillId="0" borderId="0" xfId="0" applyFont="true"/>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drawings/drawing1.xml><?xml version="1.0" encoding="utf-8"?>
<xdr:wsDr xmlns:xdr="http://schemas.openxmlformats.org/drawingml/2006/spreadsheetDrawing"/>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sheetData>
    <row r="1">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t="s">
        <v>47</v>
      </c>
    </row>
    <row r="2">
      <c r="A2" t="n">
        <v>1872.0</v>
      </c>
      <c r="B2" t="s">
        <v>48</v>
      </c>
      <c r="C2" t="s">
        <v>49</v>
      </c>
      <c r="D2" t="s">
        <v>50</v>
      </c>
      <c r="E2" s="1">
        <f>HYPERLINK("https://projectreporter.nih.gov/project_info_description.cfm?aid=9730239","The Impact of Early Medical Treatment in Transgender Youth")</f>
      </c>
      <c r="F2" t="s">
        <v>51</v>
      </c>
      <c r="G2" t="s">
        <v>52</v>
      </c>
      <c r="H2" t="n">
        <v>9730239.0</v>
      </c>
      <c r="I2" t="s">
        <v>53</v>
      </c>
      <c r="J2" t="s">
        <v>54</v>
      </c>
      <c r="K2" s="1">
        <f>HYPERLINK("https://projectreporter.nih.gov/project_info_details.cfm?aid=9730239","5R01HD082554-05")</f>
      </c>
      <c r="L2" t="n">
        <v>5.0</v>
      </c>
      <c r="M2" t="s">
        <v>55</v>
      </c>
      <c r="N2" t="s">
        <v>56</v>
      </c>
      <c r="O2" t="s">
        <v>57</v>
      </c>
      <c r="P2" t="s">
        <v>58</v>
      </c>
      <c r="Q2" t="s">
        <v>0</v>
      </c>
      <c r="R2" t="s">
        <v>59</v>
      </c>
      <c r="S2" t="s">
        <v>60</v>
      </c>
      <c r="T2" t="s">
        <v>61</v>
      </c>
      <c r="U2" t="s">
        <v>62</v>
      </c>
      <c r="V2" t="s">
        <v>0</v>
      </c>
      <c r="W2" t="n">
        <v>1.0480275E7</v>
      </c>
      <c r="X2" t="s">
        <v>63</v>
      </c>
      <c r="Y2" t="s">
        <v>64</v>
      </c>
      <c r="Z2" t="s">
        <v>65</v>
      </c>
      <c r="AA2" t="s">
        <v>66</v>
      </c>
      <c r="AB2" t="s">
        <v>67</v>
      </c>
      <c r="AC2" t="s">
        <v>68</v>
      </c>
      <c r="AD2" t="n">
        <v>34.098065</v>
      </c>
      <c r="AE2" t="n">
        <v>-118.29069</v>
      </c>
      <c r="AF2" t="s">
        <v>69</v>
      </c>
      <c r="AG2" t="s">
        <v>70</v>
      </c>
      <c r="AH2" t="s">
        <v>71</v>
      </c>
      <c r="AI2" t="s">
        <v>72</v>
      </c>
      <c r="AJ2" t="s">
        <v>73</v>
      </c>
      <c r="AK2" t="s">
        <v>74</v>
      </c>
      <c r="AL2" t="s">
        <v>75</v>
      </c>
      <c r="AM2" t="s">
        <v>76</v>
      </c>
      <c r="AN2" t="s">
        <v>77</v>
      </c>
      <c r="AO2" t="s">
        <v>61</v>
      </c>
      <c r="AP2" t="s">
        <v>78</v>
      </c>
      <c r="AQ2" t="s">
        <v>79</v>
      </c>
      <c r="AR2" t="n">
        <v>2019.0</v>
      </c>
      <c r="AS2" t="s">
        <v>52</v>
      </c>
      <c r="AT2" t="n">
        <v>1111300.0</v>
      </c>
      <c r="AU2" t="s">
        <v>0</v>
      </c>
    </row>
    <row r="3">
      <c r="A3" t="n">
        <v>970.0</v>
      </c>
      <c r="B3" t="s">
        <v>48</v>
      </c>
      <c r="C3" t="s">
        <v>80</v>
      </c>
      <c r="D3" t="s">
        <v>81</v>
      </c>
      <c r="E3" s="1">
        <f>HYPERLINK("https://projectreporter.nih.gov/project_info_description.cfm?aid=9769144","Sex hormone effects on neurodevelopment: Controlled puberty in transgender adolescents")</f>
      </c>
      <c r="F3" t="s">
        <v>82</v>
      </c>
      <c r="G3" t="s">
        <v>83</v>
      </c>
      <c r="H3" t="n">
        <v>9769144.0</v>
      </c>
      <c r="I3" t="s">
        <v>84</v>
      </c>
      <c r="J3" t="s">
        <v>85</v>
      </c>
      <c r="K3" s="1">
        <f>HYPERLINK("https://projectreporter.nih.gov/project_info_details.cfm?aid=9769144","5R01MH115349-02")</f>
      </c>
      <c r="L3" t="n">
        <v>5.0</v>
      </c>
      <c r="M3" t="s">
        <v>55</v>
      </c>
      <c r="N3" t="s">
        <v>86</v>
      </c>
      <c r="O3" t="s">
        <v>87</v>
      </c>
      <c r="P3" t="s">
        <v>88</v>
      </c>
      <c r="Q3" t="s">
        <v>0</v>
      </c>
      <c r="R3" t="s">
        <v>89</v>
      </c>
      <c r="S3" t="s">
        <v>90</v>
      </c>
      <c r="T3" t="s">
        <v>91</v>
      </c>
      <c r="U3" t="s">
        <v>92</v>
      </c>
      <c r="V3" t="s">
        <v>0</v>
      </c>
      <c r="W3" t="n">
        <v>9594815.0</v>
      </c>
      <c r="X3" t="s">
        <v>93</v>
      </c>
      <c r="Y3" t="s">
        <v>94</v>
      </c>
      <c r="Z3" t="s">
        <v>95</v>
      </c>
      <c r="AA3" t="s">
        <v>96</v>
      </c>
      <c r="AB3" t="s">
        <v>97</v>
      </c>
      <c r="AC3" t="s">
        <v>68</v>
      </c>
      <c r="AD3" t="n">
        <v>37.430351</v>
      </c>
      <c r="AE3" t="n">
        <v>-122.17821</v>
      </c>
      <c r="AF3" t="s">
        <v>98</v>
      </c>
      <c r="AG3" t="s">
        <v>99</v>
      </c>
      <c r="AH3" t="s">
        <v>100</v>
      </c>
      <c r="AI3" t="s">
        <v>72</v>
      </c>
      <c r="AJ3" t="s">
        <v>101</v>
      </c>
      <c r="AK3" t="s">
        <v>102</v>
      </c>
      <c r="AL3" t="s">
        <v>75</v>
      </c>
      <c r="AM3" t="s">
        <v>76</v>
      </c>
      <c r="AN3" t="s">
        <v>103</v>
      </c>
      <c r="AO3" t="s">
        <v>104</v>
      </c>
      <c r="AP3" t="s">
        <v>105</v>
      </c>
      <c r="AQ3" t="s">
        <v>79</v>
      </c>
      <c r="AR3" t="n">
        <v>2019.0</v>
      </c>
      <c r="AS3" t="s">
        <v>83</v>
      </c>
      <c r="AT3" t="n">
        <v>738226.0</v>
      </c>
      <c r="AU3" t="s">
        <v>0</v>
      </c>
    </row>
    <row r="4">
      <c r="A4" t="n">
        <v>947.0</v>
      </c>
      <c r="B4" t="s">
        <v>48</v>
      </c>
      <c r="C4" t="s">
        <v>106</v>
      </c>
      <c r="D4" t="s">
        <v>107</v>
      </c>
      <c r="E4" s="1">
        <f>HYPERLINK("https://projectreporter.nih.gov/project_info_description.cfm?aid=9756170","Bone Density, Structure, and Estimated Strength in Transgender Youth Receiving Pubertal Suppression in Early Puberty")</f>
      </c>
      <c r="F4" t="s">
        <v>108</v>
      </c>
      <c r="G4" t="s">
        <v>52</v>
      </c>
      <c r="H4" t="n">
        <v>9756170.0</v>
      </c>
      <c r="I4" t="s">
        <v>109</v>
      </c>
      <c r="J4" t="s">
        <v>110</v>
      </c>
      <c r="K4" s="1">
        <f>HYPERLINK("https://projectreporter.nih.gov/project_info_details.cfm?aid=9756170","1F32HD098763-01")</f>
      </c>
      <c r="L4" t="n">
        <v>1.0</v>
      </c>
      <c r="M4" t="s">
        <v>111</v>
      </c>
      <c r="N4" t="s">
        <v>56</v>
      </c>
      <c r="O4" t="s">
        <v>112</v>
      </c>
      <c r="P4" t="s">
        <v>113</v>
      </c>
      <c r="Q4" t="s">
        <v>0</v>
      </c>
      <c r="R4" t="s">
        <v>59</v>
      </c>
      <c r="S4" t="s">
        <v>77</v>
      </c>
      <c r="T4" t="s">
        <v>61</v>
      </c>
      <c r="U4" t="s">
        <v>114</v>
      </c>
      <c r="V4" t="s">
        <v>0</v>
      </c>
      <c r="W4" t="n">
        <v>1.5050574E7</v>
      </c>
      <c r="X4" t="s">
        <v>115</v>
      </c>
      <c r="Y4" t="s">
        <v>94</v>
      </c>
      <c r="Z4" t="s">
        <v>116</v>
      </c>
      <c r="AA4" t="s">
        <v>117</v>
      </c>
      <c r="AB4" t="s">
        <v>118</v>
      </c>
      <c r="AC4" t="s">
        <v>68</v>
      </c>
      <c r="AD4" t="n">
        <v>37.786097</v>
      </c>
      <c r="AE4" t="n">
        <v>-122.448391</v>
      </c>
      <c r="AF4" t="s">
        <v>119</v>
      </c>
      <c r="AG4" t="s">
        <v>120</v>
      </c>
      <c r="AH4" t="s">
        <v>121</v>
      </c>
      <c r="AI4" t="s">
        <v>72</v>
      </c>
      <c r="AJ4" t="s">
        <v>101</v>
      </c>
      <c r="AK4" t="s">
        <v>122</v>
      </c>
      <c r="AL4" t="s">
        <v>75</v>
      </c>
      <c r="AM4" t="s">
        <v>76</v>
      </c>
      <c r="AN4" t="s">
        <v>77</v>
      </c>
      <c r="AO4" t="s">
        <v>61</v>
      </c>
      <c r="AP4" t="s">
        <v>78</v>
      </c>
      <c r="AQ4" t="s">
        <v>123</v>
      </c>
      <c r="AR4" t="n">
        <v>2019.0</v>
      </c>
      <c r="AS4" t="s">
        <v>52</v>
      </c>
      <c r="AT4" t="n">
        <v>74858.0</v>
      </c>
      <c r="AU4" t="s">
        <v>0</v>
      </c>
    </row>
    <row r="5">
      <c r="A5" t="n">
        <v>874.0</v>
      </c>
      <c r="B5" t="s">
        <v>124</v>
      </c>
      <c r="C5" t="s">
        <v>125</v>
      </c>
      <c r="D5" t="s">
        <v>126</v>
      </c>
      <c r="E5" s="1">
        <f>HYPERLINK("https://projectreporter.nih.gov/project_info_description.cfm?aid=9415475","Structured Pubertal Suppression Readiness Assessment for Gender Dysphoric Youth")</f>
      </c>
      <c r="F5" t="s">
        <v>127</v>
      </c>
      <c r="G5" t="s">
        <v>52</v>
      </c>
      <c r="H5" t="n">
        <v>9415475.0</v>
      </c>
      <c r="I5" t="s">
        <v>128</v>
      </c>
      <c r="J5" t="s">
        <v>129</v>
      </c>
      <c r="K5" s="1">
        <f>HYPERLINK("https://projectreporter.nih.gov/project_info_details.cfm?aid=9415475","5R21HD087839-02")</f>
      </c>
      <c r="L5" t="n">
        <v>5.0</v>
      </c>
      <c r="M5" t="s">
        <v>130</v>
      </c>
      <c r="N5" t="s">
        <v>56</v>
      </c>
      <c r="O5" t="s">
        <v>131</v>
      </c>
      <c r="P5" t="s">
        <v>88</v>
      </c>
      <c r="Q5" t="s">
        <v>0</v>
      </c>
      <c r="R5" t="s">
        <v>132</v>
      </c>
      <c r="S5" t="s">
        <v>133</v>
      </c>
      <c r="T5" t="s">
        <v>134</v>
      </c>
      <c r="U5" t="s">
        <v>135</v>
      </c>
      <c r="V5" t="s">
        <v>0</v>
      </c>
      <c r="W5" t="n">
        <v>9801731.0</v>
      </c>
      <c r="X5" t="s">
        <v>136</v>
      </c>
      <c r="Y5" t="s">
        <v>94</v>
      </c>
      <c r="Z5" t="s">
        <v>137</v>
      </c>
      <c r="AA5" t="s">
        <v>66</v>
      </c>
      <c r="AB5" t="s">
        <v>138</v>
      </c>
      <c r="AC5" t="s">
        <v>68</v>
      </c>
      <c r="AD5" t="n">
        <v>41.896683</v>
      </c>
      <c r="AE5" t="n">
        <v>-87.621466</v>
      </c>
      <c r="AF5" t="s">
        <v>139</v>
      </c>
      <c r="AG5" t="s">
        <v>140</v>
      </c>
      <c r="AH5" t="s">
        <v>141</v>
      </c>
      <c r="AI5" t="s">
        <v>142</v>
      </c>
      <c r="AJ5" t="s">
        <v>73</v>
      </c>
      <c r="AK5" t="s">
        <v>143</v>
      </c>
      <c r="AL5" t="s">
        <v>75</v>
      </c>
      <c r="AM5" t="s">
        <v>76</v>
      </c>
      <c r="AN5" t="s">
        <v>144</v>
      </c>
      <c r="AO5" t="s">
        <v>134</v>
      </c>
      <c r="AP5" t="s">
        <v>78</v>
      </c>
      <c r="AQ5" t="s">
        <v>79</v>
      </c>
      <c r="AR5" t="n">
        <v>2018.0</v>
      </c>
      <c r="AS5" t="s">
        <v>52</v>
      </c>
      <c r="AT5" t="n">
        <v>228921.0</v>
      </c>
      <c r="AU5" t="s">
        <v>0</v>
      </c>
    </row>
    <row r="6">
      <c r="A6" t="n">
        <v>778.0</v>
      </c>
      <c r="B6" t="s">
        <v>48</v>
      </c>
      <c r="C6" t="s">
        <v>145</v>
      </c>
      <c r="D6" t="s">
        <v>146</v>
      </c>
      <c r="E6" s="1">
        <f>HYPERLINK("https://projectreporter.nih.gov/project_info_description.cfm?aid=9637730","A Longitudinal Study of Gender Nonconformity in Prepubescent Children")</f>
      </c>
      <c r="F6" t="s">
        <v>147</v>
      </c>
      <c r="G6" t="s">
        <v>52</v>
      </c>
      <c r="H6" t="n">
        <v>9637730.0</v>
      </c>
      <c r="I6" t="s">
        <v>148</v>
      </c>
      <c r="J6" t="s">
        <v>149</v>
      </c>
      <c r="K6" s="1">
        <f>HYPERLINK("https://projectreporter.nih.gov/project_info_details.cfm?aid=9637730","1R01HD097122-01")</f>
      </c>
      <c r="L6" t="n">
        <v>1.0</v>
      </c>
      <c r="M6" t="s">
        <v>55</v>
      </c>
      <c r="N6" t="s">
        <v>56</v>
      </c>
      <c r="O6" t="s">
        <v>150</v>
      </c>
      <c r="P6" t="s">
        <v>113</v>
      </c>
      <c r="Q6" t="s">
        <v>0</v>
      </c>
      <c r="R6" t="s">
        <v>151</v>
      </c>
      <c r="S6" t="s">
        <v>148</v>
      </c>
      <c r="T6" t="s">
        <v>152</v>
      </c>
      <c r="U6" t="s">
        <v>135</v>
      </c>
      <c r="V6" t="s">
        <v>0</v>
      </c>
      <c r="W6" t="n">
        <v>1.1627867E7</v>
      </c>
      <c r="X6" t="s">
        <v>153</v>
      </c>
      <c r="Y6" t="s">
        <v>154</v>
      </c>
      <c r="Z6" t="s">
        <v>65</v>
      </c>
      <c r="AA6" t="s">
        <v>66</v>
      </c>
      <c r="AB6" t="s">
        <v>67</v>
      </c>
      <c r="AC6" t="s">
        <v>68</v>
      </c>
      <c r="AD6" t="n">
        <v>34.098065</v>
      </c>
      <c r="AE6" t="n">
        <v>-118.29069</v>
      </c>
      <c r="AF6" t="s">
        <v>69</v>
      </c>
      <c r="AG6" t="s">
        <v>70</v>
      </c>
      <c r="AH6" t="s">
        <v>71</v>
      </c>
      <c r="AI6" t="s">
        <v>72</v>
      </c>
      <c r="AJ6" t="s">
        <v>73</v>
      </c>
      <c r="AK6" t="s">
        <v>74</v>
      </c>
      <c r="AL6" t="s">
        <v>75</v>
      </c>
      <c r="AM6" t="s">
        <v>76</v>
      </c>
      <c r="AN6" t="s">
        <v>148</v>
      </c>
      <c r="AO6" t="s">
        <v>155</v>
      </c>
      <c r="AP6" t="s">
        <v>78</v>
      </c>
      <c r="AQ6" t="s">
        <v>79</v>
      </c>
      <c r="AR6" t="n">
        <v>2019.0</v>
      </c>
      <c r="AS6" t="s">
        <v>52</v>
      </c>
      <c r="AT6" t="n">
        <v>776835.0</v>
      </c>
      <c r="AU6" t="s">
        <v>0</v>
      </c>
    </row>
    <row r="7">
      <c r="A7" t="n">
        <v>739.0</v>
      </c>
      <c r="B7" t="s">
        <v>156</v>
      </c>
      <c r="C7" t="s">
        <v>157</v>
      </c>
      <c r="D7" t="s">
        <v>158</v>
      </c>
      <c r="E7" s="1">
        <f>HYPERLINK("https://projectreporter.nih.gov/project_info_description.cfm?aid=8821663","Risk and Protective Factors for Suicide among Sexual Minority Youth")</f>
      </c>
      <c r="F7" t="s">
        <v>159</v>
      </c>
      <c r="G7" t="s">
        <v>83</v>
      </c>
      <c r="H7" t="n">
        <v>8821663.0</v>
      </c>
      <c r="I7" t="s">
        <v>160</v>
      </c>
      <c r="J7" t="s">
        <v>161</v>
      </c>
      <c r="K7" s="1">
        <f>HYPERLINK("https://projectreporter.nih.gov/project_info_details.cfm?aid=8821663","4R01MH091212-05")</f>
      </c>
      <c r="L7" t="n">
        <v>4.0</v>
      </c>
      <c r="M7" t="s">
        <v>55</v>
      </c>
      <c r="N7" t="s">
        <v>86</v>
      </c>
      <c r="O7" t="s">
        <v>162</v>
      </c>
      <c r="P7" t="s">
        <v>58</v>
      </c>
      <c r="Q7" t="s">
        <v>0</v>
      </c>
      <c r="R7" t="s">
        <v>163</v>
      </c>
      <c r="S7" t="s">
        <v>164</v>
      </c>
      <c r="T7" t="s">
        <v>165</v>
      </c>
      <c r="U7" t="s">
        <v>135</v>
      </c>
      <c r="V7" t="s">
        <v>0</v>
      </c>
      <c r="W7" t="n">
        <v>8550419.0</v>
      </c>
      <c r="X7" t="s">
        <v>166</v>
      </c>
      <c r="Y7" t="s">
        <v>94</v>
      </c>
      <c r="Z7" t="s">
        <v>116</v>
      </c>
      <c r="AA7" t="s">
        <v>167</v>
      </c>
      <c r="AB7" t="s">
        <v>168</v>
      </c>
      <c r="AC7" t="s">
        <v>68</v>
      </c>
      <c r="AD7" t="n">
        <v>40.727349</v>
      </c>
      <c r="AE7" t="n">
        <v>-73.99527</v>
      </c>
      <c r="AF7" t="s">
        <v>169</v>
      </c>
      <c r="AG7" t="s">
        <v>170</v>
      </c>
      <c r="AH7" t="s">
        <v>171</v>
      </c>
      <c r="AI7" t="s">
        <v>172</v>
      </c>
      <c r="AJ7" t="s">
        <v>173</v>
      </c>
      <c r="AK7" t="s">
        <v>174</v>
      </c>
      <c r="AL7" t="s">
        <v>75</v>
      </c>
      <c r="AM7" t="s">
        <v>76</v>
      </c>
      <c r="AN7" t="s">
        <v>175</v>
      </c>
      <c r="AO7" t="s">
        <v>165</v>
      </c>
      <c r="AP7" t="s">
        <v>105</v>
      </c>
      <c r="AQ7" t="s">
        <v>79</v>
      </c>
      <c r="AR7" t="n">
        <v>2016.0</v>
      </c>
      <c r="AS7" t="s">
        <v>83</v>
      </c>
      <c r="AT7" t="n">
        <v>449970.0</v>
      </c>
      <c r="AU7" t="s">
        <v>0</v>
      </c>
    </row>
    <row r="8">
      <c r="A8" t="n">
        <v>727.0</v>
      </c>
      <c r="B8" t="s">
        <v>48</v>
      </c>
      <c r="C8" t="s">
        <v>176</v>
      </c>
      <c r="D8" t="s">
        <v>177</v>
      </c>
      <c r="E8" s="1">
        <f>HYPERLINK("https://projectreporter.nih.gov/project_info_description.cfm?aid=9837489","Transgender Youth and PrEP: PK, Safety, Uptake &amp; Adherence")</f>
      </c>
      <c r="F8" t="s">
        <v>178</v>
      </c>
      <c r="G8" t="s">
        <v>83</v>
      </c>
      <c r="H8" t="n">
        <v>9837489.0</v>
      </c>
      <c r="I8" t="s">
        <v>179</v>
      </c>
      <c r="J8" t="s">
        <v>180</v>
      </c>
      <c r="K8" s="1">
        <f>HYPERLINK("https://projectreporter.nih.gov/project_info_details.cfm?aid=9837489","5R01MH114753-03")</f>
      </c>
      <c r="L8" t="n">
        <v>5.0</v>
      </c>
      <c r="M8" t="s">
        <v>55</v>
      </c>
      <c r="N8" t="s">
        <v>86</v>
      </c>
      <c r="O8" t="s">
        <v>181</v>
      </c>
      <c r="P8" t="s">
        <v>182</v>
      </c>
      <c r="Q8" t="s">
        <v>0</v>
      </c>
      <c r="R8" t="s">
        <v>183</v>
      </c>
      <c r="S8" t="s">
        <v>184</v>
      </c>
      <c r="T8" t="s">
        <v>185</v>
      </c>
      <c r="U8" t="s">
        <v>186</v>
      </c>
      <c r="V8" t="s">
        <v>0</v>
      </c>
      <c r="W8" t="n">
        <v>8552139.0</v>
      </c>
      <c r="X8" t="s">
        <v>187</v>
      </c>
      <c r="Y8" t="s">
        <v>94</v>
      </c>
      <c r="Z8" t="s">
        <v>137</v>
      </c>
      <c r="AA8" t="s">
        <v>66</v>
      </c>
      <c r="AB8" t="s">
        <v>188</v>
      </c>
      <c r="AC8" t="s">
        <v>68</v>
      </c>
      <c r="AD8" t="n">
        <v>41.868656</v>
      </c>
      <c r="AE8" t="n">
        <v>-87.681471</v>
      </c>
      <c r="AF8" t="s">
        <v>189</v>
      </c>
      <c r="AG8" t="s">
        <v>190</v>
      </c>
      <c r="AH8" t="s">
        <v>191</v>
      </c>
      <c r="AI8" t="s">
        <v>142</v>
      </c>
      <c r="AJ8" t="s">
        <v>192</v>
      </c>
      <c r="AK8" t="s">
        <v>193</v>
      </c>
      <c r="AL8" t="s">
        <v>75</v>
      </c>
      <c r="AM8" t="s">
        <v>76</v>
      </c>
      <c r="AN8" t="s">
        <v>194</v>
      </c>
      <c r="AO8" t="s">
        <v>195</v>
      </c>
      <c r="AP8" t="s">
        <v>105</v>
      </c>
      <c r="AQ8" t="s">
        <v>79</v>
      </c>
      <c r="AR8" t="n">
        <v>2020.0</v>
      </c>
      <c r="AS8" t="s">
        <v>83</v>
      </c>
      <c r="AT8" t="n">
        <v>574516.0</v>
      </c>
      <c r="AU8" t="s">
        <v>0</v>
      </c>
    </row>
    <row r="9">
      <c r="A9" t="n">
        <v>725.0</v>
      </c>
      <c r="B9" t="s">
        <v>48</v>
      </c>
      <c r="C9" t="s">
        <v>196</v>
      </c>
      <c r="D9" t="s">
        <v>197</v>
      </c>
      <c r="E9" s="1">
        <f>HYPERLINK("https://projectreporter.nih.gov/project_info_description.cfm?aid=9790975","Fertility Decision-Making in Youth and Young Adults")</f>
      </c>
      <c r="F9" t="s">
        <v>198</v>
      </c>
      <c r="G9" t="s">
        <v>52</v>
      </c>
      <c r="H9" t="n">
        <v>9790975.0</v>
      </c>
      <c r="I9" t="s">
        <v>199</v>
      </c>
      <c r="J9" t="s">
        <v>200</v>
      </c>
      <c r="K9" s="1">
        <f>HYPERLINK("https://projectreporter.nih.gov/project_info_details.cfm?aid=9790975","5R21HD097459-02")</f>
      </c>
      <c r="L9" t="n">
        <v>5.0</v>
      </c>
      <c r="M9" t="s">
        <v>130</v>
      </c>
      <c r="N9" t="s">
        <v>56</v>
      </c>
      <c r="O9" t="s">
        <v>201</v>
      </c>
      <c r="P9" t="s">
        <v>88</v>
      </c>
      <c r="Q9" t="s">
        <v>0</v>
      </c>
      <c r="R9" t="s">
        <v>202</v>
      </c>
      <c r="S9" t="s">
        <v>203</v>
      </c>
      <c r="T9" t="s">
        <v>204</v>
      </c>
      <c r="U9" t="s">
        <v>135</v>
      </c>
      <c r="V9" t="s">
        <v>0</v>
      </c>
      <c r="W9" t="n">
        <v>9801731.0</v>
      </c>
      <c r="X9" t="s">
        <v>136</v>
      </c>
      <c r="Y9" t="s">
        <v>94</v>
      </c>
      <c r="Z9" t="s">
        <v>137</v>
      </c>
      <c r="AA9" t="s">
        <v>66</v>
      </c>
      <c r="AB9" t="s">
        <v>138</v>
      </c>
      <c r="AC9" t="s">
        <v>68</v>
      </c>
      <c r="AD9" t="n">
        <v>41.896683</v>
      </c>
      <c r="AE9" t="n">
        <v>-87.621466</v>
      </c>
      <c r="AF9" t="s">
        <v>139</v>
      </c>
      <c r="AG9" t="s">
        <v>140</v>
      </c>
      <c r="AH9" t="s">
        <v>141</v>
      </c>
      <c r="AI9" t="s">
        <v>142</v>
      </c>
      <c r="AJ9" t="s">
        <v>73</v>
      </c>
      <c r="AK9" t="s">
        <v>143</v>
      </c>
      <c r="AL9" t="s">
        <v>75</v>
      </c>
      <c r="AM9" t="s">
        <v>76</v>
      </c>
      <c r="AN9" t="s">
        <v>205</v>
      </c>
      <c r="AO9" t="s">
        <v>204</v>
      </c>
      <c r="AP9" t="s">
        <v>78</v>
      </c>
      <c r="AQ9" t="s">
        <v>79</v>
      </c>
      <c r="AR9" t="n">
        <v>2019.0</v>
      </c>
      <c r="AS9" t="s">
        <v>52</v>
      </c>
      <c r="AT9" t="n">
        <v>192350.0</v>
      </c>
      <c r="AU9" t="s">
        <v>0</v>
      </c>
    </row>
    <row r="10">
      <c r="A10" t="n">
        <v>724.0</v>
      </c>
      <c r="B10" t="s">
        <v>206</v>
      </c>
      <c r="C10" t="s">
        <v>207</v>
      </c>
      <c r="D10" t="s">
        <v>208</v>
      </c>
      <c r="E10" s="1">
        <f>HYPERLINK("https://projectreporter.nih.gov/project_info_description.cfm?aid=9139428","Substance Use Disparities among Transgender Youth")</f>
      </c>
      <c r="F10" t="s">
        <v>209</v>
      </c>
      <c r="G10" t="s">
        <v>210</v>
      </c>
      <c r="H10" t="n">
        <v>9139428.0</v>
      </c>
      <c r="I10" t="s">
        <v>211</v>
      </c>
      <c r="J10" t="s">
        <v>212</v>
      </c>
      <c r="K10" s="1">
        <f>HYPERLINK("https://projectreporter.nih.gov/project_info_details.cfm?aid=9139428","5R21DA037958-02")</f>
      </c>
      <c r="L10" t="n">
        <v>5.0</v>
      </c>
      <c r="M10" t="s">
        <v>130</v>
      </c>
      <c r="N10" t="s">
        <v>213</v>
      </c>
      <c r="O10" t="s">
        <v>214</v>
      </c>
      <c r="P10" t="s">
        <v>88</v>
      </c>
      <c r="Q10" t="s">
        <v>0</v>
      </c>
      <c r="R10" t="s">
        <v>215</v>
      </c>
      <c r="S10" t="s">
        <v>216</v>
      </c>
      <c r="T10" t="s">
        <v>217</v>
      </c>
      <c r="U10" t="s">
        <v>135</v>
      </c>
      <c r="V10" t="s">
        <v>0</v>
      </c>
      <c r="W10" t="n">
        <v>6603008.0</v>
      </c>
      <c r="X10" t="s">
        <v>218</v>
      </c>
      <c r="Y10" t="s">
        <v>219</v>
      </c>
      <c r="Z10" t="s">
        <v>95</v>
      </c>
      <c r="AA10" t="s">
        <v>96</v>
      </c>
      <c r="AB10" t="s">
        <v>220</v>
      </c>
      <c r="AC10" t="s">
        <v>68</v>
      </c>
      <c r="AD10" t="n">
        <v>40.444095</v>
      </c>
      <c r="AE10" t="n">
        <v>-79.956899</v>
      </c>
      <c r="AF10" t="s">
        <v>221</v>
      </c>
      <c r="AG10" t="s">
        <v>222</v>
      </c>
      <c r="AH10" t="s">
        <v>223</v>
      </c>
      <c r="AI10" t="s">
        <v>224</v>
      </c>
      <c r="AJ10" t="s">
        <v>101</v>
      </c>
      <c r="AK10" t="s">
        <v>225</v>
      </c>
      <c r="AL10" t="s">
        <v>75</v>
      </c>
      <c r="AM10" t="s">
        <v>76</v>
      </c>
      <c r="AN10" t="s">
        <v>226</v>
      </c>
      <c r="AO10" t="s">
        <v>217</v>
      </c>
      <c r="AP10" t="s">
        <v>227</v>
      </c>
      <c r="AQ10" t="s">
        <v>79</v>
      </c>
      <c r="AR10" t="n">
        <v>2016.0</v>
      </c>
      <c r="AS10" t="s">
        <v>210</v>
      </c>
      <c r="AT10" t="n">
        <v>189386.0</v>
      </c>
      <c r="AU10" t="s">
        <v>0</v>
      </c>
    </row>
    <row r="11">
      <c r="A11" t="n">
        <v>672.0</v>
      </c>
      <c r="B11" t="s">
        <v>48</v>
      </c>
      <c r="C11" t="s">
        <v>228</v>
      </c>
      <c r="D11" t="s">
        <v>229</v>
      </c>
      <c r="E11" s="1">
        <f>HYPERLINK("https://projectreporter.nih.gov/project_info_description.cfm?aid=9608884","Understanding Hormone Therapy Care Received by Transgender Veterans in VHA")</f>
      </c>
      <c r="F11" t="s">
        <v>230</v>
      </c>
      <c r="G11" t="s">
        <v>231</v>
      </c>
      <c r="H11" t="n">
        <v>9608884.0</v>
      </c>
      <c r="I11" t="s">
        <v>232</v>
      </c>
      <c r="J11" t="s">
        <v>233</v>
      </c>
      <c r="K11" s="1">
        <f>HYPERLINK("https://projectreporter.nih.gov/project_info_details.cfm?aid=9608884","1I01HX002556-01A1")</f>
      </c>
      <c r="L11" t="n">
        <v>1.0</v>
      </c>
      <c r="M11" t="s">
        <v>234</v>
      </c>
      <c r="N11" t="s">
        <v>231</v>
      </c>
      <c r="O11" t="s">
        <v>235</v>
      </c>
      <c r="P11" t="s">
        <v>113</v>
      </c>
      <c r="Q11" t="s">
        <v>236</v>
      </c>
      <c r="R11" t="s">
        <v>66</v>
      </c>
      <c r="S11" t="s">
        <v>237</v>
      </c>
      <c r="T11" t="s">
        <v>238</v>
      </c>
      <c r="U11" t="s">
        <v>239</v>
      </c>
      <c r="V11" t="s">
        <v>0</v>
      </c>
      <c r="W11" t="n">
        <v>1.121256E7</v>
      </c>
      <c r="X11" t="s">
        <v>240</v>
      </c>
      <c r="Y11" t="s">
        <v>94</v>
      </c>
      <c r="Z11" t="s">
        <v>241</v>
      </c>
      <c r="AA11" t="s">
        <v>66</v>
      </c>
      <c r="AB11" t="s">
        <v>242</v>
      </c>
      <c r="AC11" t="s">
        <v>68</v>
      </c>
      <c r="AD11" t="n">
        <v>42.501309</v>
      </c>
      <c r="AE11" t="n">
        <v>-71.272305</v>
      </c>
      <c r="AF11" t="s">
        <v>243</v>
      </c>
      <c r="AG11" t="s">
        <v>244</v>
      </c>
      <c r="AH11" t="s">
        <v>245</v>
      </c>
      <c r="AI11" t="s">
        <v>246</v>
      </c>
      <c r="AJ11" t="s">
        <v>73</v>
      </c>
      <c r="AK11" t="s">
        <v>247</v>
      </c>
      <c r="AL11" t="s">
        <v>75</v>
      </c>
      <c r="AM11" t="s">
        <v>76</v>
      </c>
      <c r="AN11" t="s">
        <v>237</v>
      </c>
      <c r="AO11" t="s">
        <v>248</v>
      </c>
      <c r="AP11" t="s">
        <v>249</v>
      </c>
      <c r="AQ11" t="s">
        <v>79</v>
      </c>
      <c r="AR11" t="n">
        <v>2019.0</v>
      </c>
      <c r="AS11" t="s">
        <v>0</v>
      </c>
      <c r="AT11" t="s">
        <v>0</v>
      </c>
      <c r="AU11" t="s">
        <v>0</v>
      </c>
      <c r="AV11" t="s">
        <v>0</v>
      </c>
      <c r="AW11" t="s">
        <v>0</v>
      </c>
    </row>
    <row r="12">
      <c r="A12" t="n">
        <v>650.0</v>
      </c>
      <c r="B12" t="s">
        <v>250</v>
      </c>
      <c r="C12" t="s">
        <v>251</v>
      </c>
      <c r="D12" t="s">
        <v>252</v>
      </c>
      <c r="E12" s="1">
        <f>HYPERLINK("https://projectreporter.nih.gov/project_info_description.cfm?aid=9348676","Community Partnership to Identify Intervention Targets to Improve Mental Health Services to Transgender Individuals in Underserved Areas")</f>
      </c>
      <c r="F12" t="s">
        <v>253</v>
      </c>
      <c r="G12" t="s">
        <v>83</v>
      </c>
      <c r="H12" t="n">
        <v>9348676.0</v>
      </c>
      <c r="I12" t="s">
        <v>254</v>
      </c>
      <c r="J12" t="s">
        <v>255</v>
      </c>
      <c r="K12" s="1">
        <f>HYPERLINK("https://projectreporter.nih.gov/project_info_details.cfm?aid=9348676","5R21MH108897-02")</f>
      </c>
      <c r="L12" t="n">
        <v>5.0</v>
      </c>
      <c r="M12" t="s">
        <v>130</v>
      </c>
      <c r="N12" t="s">
        <v>86</v>
      </c>
      <c r="O12" t="s">
        <v>256</v>
      </c>
      <c r="P12" t="s">
        <v>88</v>
      </c>
      <c r="Q12" t="s">
        <v>0</v>
      </c>
      <c r="R12" t="s">
        <v>257</v>
      </c>
      <c r="S12" t="s">
        <v>258</v>
      </c>
      <c r="T12" t="s">
        <v>259</v>
      </c>
      <c r="U12" t="s">
        <v>260</v>
      </c>
      <c r="V12" t="s">
        <v>0</v>
      </c>
      <c r="W12" t="n">
        <v>1931565.0</v>
      </c>
      <c r="X12" t="s">
        <v>261</v>
      </c>
      <c r="Y12" t="s">
        <v>94</v>
      </c>
      <c r="Z12" t="s">
        <v>113</v>
      </c>
      <c r="AA12" t="s">
        <v>167</v>
      </c>
      <c r="AB12" t="s">
        <v>262</v>
      </c>
      <c r="AC12" t="s">
        <v>68</v>
      </c>
      <c r="AD12" t="n">
        <v>40.815979</v>
      </c>
      <c r="AE12" t="n">
        <v>-96.701054</v>
      </c>
      <c r="AF12" t="s">
        <v>263</v>
      </c>
      <c r="AG12" t="s">
        <v>264</v>
      </c>
      <c r="AH12" t="s">
        <v>265</v>
      </c>
      <c r="AI12" t="s">
        <v>266</v>
      </c>
      <c r="AJ12" t="s">
        <v>267</v>
      </c>
      <c r="AK12" t="s">
        <v>268</v>
      </c>
      <c r="AL12" t="s">
        <v>75</v>
      </c>
      <c r="AM12" t="s">
        <v>76</v>
      </c>
      <c r="AN12" t="s">
        <v>269</v>
      </c>
      <c r="AO12" t="s">
        <v>259</v>
      </c>
      <c r="AP12" t="s">
        <v>105</v>
      </c>
      <c r="AQ12" t="s">
        <v>79</v>
      </c>
      <c r="AR12" t="n">
        <v>2017.0</v>
      </c>
      <c r="AS12" t="s">
        <v>83</v>
      </c>
      <c r="AT12" t="n">
        <v>181321.0</v>
      </c>
      <c r="AU12" t="s">
        <v>0</v>
      </c>
    </row>
    <row r="13">
      <c r="A13" t="n">
        <v>646.0</v>
      </c>
      <c r="B13" t="s">
        <v>48</v>
      </c>
      <c r="C13" t="s">
        <v>270</v>
      </c>
      <c r="D13" t="s">
        <v>271</v>
      </c>
      <c r="E13" s="1">
        <f>HYPERLINK("https://projectreporter.nih.gov/project_info_description.cfm?aid=9724425","Substance and Non-Prescribed Hormone Use Among Transmen")</f>
      </c>
      <c r="F13" t="s">
        <v>272</v>
      </c>
      <c r="G13" t="s">
        <v>210</v>
      </c>
      <c r="H13" t="n">
        <v>9724425.0</v>
      </c>
      <c r="I13" t="s">
        <v>232</v>
      </c>
      <c r="J13" t="s">
        <v>85</v>
      </c>
      <c r="K13" s="1">
        <f>HYPERLINK("https://projectreporter.nih.gov/project_info_details.cfm?aid=9724425","5R01DA039971-04")</f>
      </c>
      <c r="L13" t="n">
        <v>5.0</v>
      </c>
      <c r="M13" t="s">
        <v>55</v>
      </c>
      <c r="N13" t="s">
        <v>213</v>
      </c>
      <c r="O13" t="s">
        <v>273</v>
      </c>
      <c r="P13" t="s">
        <v>274</v>
      </c>
      <c r="Q13" t="s">
        <v>0</v>
      </c>
      <c r="R13" t="s">
        <v>215</v>
      </c>
      <c r="S13" t="s">
        <v>275</v>
      </c>
      <c r="T13" t="s">
        <v>276</v>
      </c>
      <c r="U13" t="s">
        <v>277</v>
      </c>
      <c r="V13" t="s">
        <v>0</v>
      </c>
      <c r="W13" t="n">
        <v>1873105.0</v>
      </c>
      <c r="X13" t="s">
        <v>278</v>
      </c>
      <c r="Y13" t="s">
        <v>279</v>
      </c>
      <c r="Z13" t="s">
        <v>280</v>
      </c>
      <c r="AA13" t="s">
        <v>66</v>
      </c>
      <c r="AB13" t="s">
        <v>281</v>
      </c>
      <c r="AC13" t="s">
        <v>68</v>
      </c>
      <c r="AD13" t="n">
        <v>37.803785</v>
      </c>
      <c r="AE13" t="n">
        <v>-122.275259</v>
      </c>
      <c r="AF13" t="s">
        <v>282</v>
      </c>
      <c r="AG13" t="s">
        <v>283</v>
      </c>
      <c r="AH13" t="s">
        <v>284</v>
      </c>
      <c r="AI13" t="s">
        <v>72</v>
      </c>
      <c r="AJ13" t="s">
        <v>192</v>
      </c>
      <c r="AK13" t="s">
        <v>285</v>
      </c>
      <c r="AL13" t="s">
        <v>75</v>
      </c>
      <c r="AM13" t="s">
        <v>76</v>
      </c>
      <c r="AN13" t="s">
        <v>77</v>
      </c>
      <c r="AO13" t="s">
        <v>61</v>
      </c>
      <c r="AP13" t="s">
        <v>227</v>
      </c>
      <c r="AQ13" t="s">
        <v>79</v>
      </c>
      <c r="AR13" t="n">
        <v>2019.0</v>
      </c>
      <c r="AS13" t="s">
        <v>210</v>
      </c>
      <c r="AT13" t="n">
        <v>427003.0</v>
      </c>
      <c r="AU13" t="s">
        <v>0</v>
      </c>
    </row>
    <row r="14">
      <c r="A14" t="n">
        <v>629.0</v>
      </c>
      <c r="B14" t="s">
        <v>286</v>
      </c>
      <c r="C14" t="s">
        <v>287</v>
      </c>
      <c r="D14" t="s">
        <v>288</v>
      </c>
      <c r="E14" s="1">
        <f>HYPERLINK("https://projectreporter.nih.gov/project_info_description.cfm?aid=9534150","Identity Development, Risk, and Resilience among Gender Diverse Populations")</f>
      </c>
      <c r="F14" t="s">
        <v>289</v>
      </c>
      <c r="G14" t="s">
        <v>52</v>
      </c>
      <c r="H14" t="n">
        <v>9534150.0</v>
      </c>
      <c r="I14" t="s">
        <v>290</v>
      </c>
      <c r="J14" t="s">
        <v>54</v>
      </c>
      <c r="K14" s="1">
        <f>HYPERLINK("https://projectreporter.nih.gov/project_info_details.cfm?aid=9534150","5R01HD079603-05")</f>
      </c>
      <c r="L14" t="n">
        <v>5.0</v>
      </c>
      <c r="M14" t="s">
        <v>55</v>
      </c>
      <c r="N14" t="s">
        <v>56</v>
      </c>
      <c r="O14" t="s">
        <v>291</v>
      </c>
      <c r="P14" t="s">
        <v>58</v>
      </c>
      <c r="Q14" t="s">
        <v>0</v>
      </c>
      <c r="R14" t="s">
        <v>292</v>
      </c>
      <c r="S14" t="s">
        <v>293</v>
      </c>
      <c r="T14" t="s">
        <v>61</v>
      </c>
      <c r="U14" t="s">
        <v>294</v>
      </c>
      <c r="V14" t="s">
        <v>0</v>
      </c>
      <c r="W14" t="n">
        <v>6832127.0</v>
      </c>
      <c r="X14" t="s">
        <v>295</v>
      </c>
      <c r="Y14" t="s">
        <v>94</v>
      </c>
      <c r="Z14" t="s">
        <v>280</v>
      </c>
      <c r="AA14" t="s">
        <v>66</v>
      </c>
      <c r="AB14" t="s">
        <v>296</v>
      </c>
      <c r="AC14" t="s">
        <v>68</v>
      </c>
      <c r="AD14" t="n">
        <v>40.842455</v>
      </c>
      <c r="AE14" t="n">
        <v>-73.944838</v>
      </c>
      <c r="AF14" t="s">
        <v>297</v>
      </c>
      <c r="AG14" t="s">
        <v>298</v>
      </c>
      <c r="AH14" t="s">
        <v>171</v>
      </c>
      <c r="AI14" t="s">
        <v>172</v>
      </c>
      <c r="AJ14" t="s">
        <v>73</v>
      </c>
      <c r="AK14" t="s">
        <v>299</v>
      </c>
      <c r="AL14" t="s">
        <v>75</v>
      </c>
      <c r="AM14" t="s">
        <v>76</v>
      </c>
      <c r="AN14" t="s">
        <v>300</v>
      </c>
      <c r="AO14" t="s">
        <v>61</v>
      </c>
      <c r="AP14" t="s">
        <v>78</v>
      </c>
      <c r="AQ14" t="s">
        <v>79</v>
      </c>
      <c r="AR14" t="n">
        <v>2018.0</v>
      </c>
      <c r="AS14" t="s">
        <v>52</v>
      </c>
      <c r="AT14" t="n">
        <v>556709.0</v>
      </c>
      <c r="AU14" t="s">
        <v>0</v>
      </c>
    </row>
    <row r="15">
      <c r="A15" t="n">
        <v>596.0</v>
      </c>
      <c r="B15" t="s">
        <v>301</v>
      </c>
      <c r="C15" t="s">
        <v>302</v>
      </c>
      <c r="D15" t="s">
        <v>303</v>
      </c>
      <c r="E15" s="1">
        <f>HYPERLINK("https://projectreporter.nih.gov/project_info_description.cfm?aid=8782555","Reducing Health Disparities in LGBTQ Youth of Color")</f>
      </c>
      <c r="F15" t="s">
        <v>304</v>
      </c>
      <c r="G15" t="s">
        <v>305</v>
      </c>
      <c r="H15" t="n">
        <v>8782555.0</v>
      </c>
      <c r="I15" t="s">
        <v>306</v>
      </c>
      <c r="J15" t="s">
        <v>307</v>
      </c>
      <c r="K15" s="1">
        <f>HYPERLINK("https://projectreporter.nih.gov/project_info_details.cfm?aid=8782555","5R24MD008073-03")</f>
      </c>
      <c r="L15" t="n">
        <v>5.0</v>
      </c>
      <c r="M15" t="s">
        <v>308</v>
      </c>
      <c r="N15" t="s">
        <v>309</v>
      </c>
      <c r="O15" t="s">
        <v>310</v>
      </c>
      <c r="P15" t="s">
        <v>182</v>
      </c>
      <c r="Q15" t="s">
        <v>0</v>
      </c>
      <c r="R15" t="s">
        <v>311</v>
      </c>
      <c r="S15" t="s">
        <v>312</v>
      </c>
      <c r="T15" t="s">
        <v>313</v>
      </c>
      <c r="U15" t="s">
        <v>314</v>
      </c>
      <c r="V15" t="s">
        <v>0</v>
      </c>
      <c r="W15" t="n">
        <v>6833432.0</v>
      </c>
      <c r="X15" t="s">
        <v>315</v>
      </c>
      <c r="Y15" t="s">
        <v>94</v>
      </c>
      <c r="Z15" t="s">
        <v>137</v>
      </c>
      <c r="AA15" t="s">
        <v>66</v>
      </c>
      <c r="AB15" t="s">
        <v>316</v>
      </c>
      <c r="AC15" t="s">
        <v>68</v>
      </c>
      <c r="AD15" t="n">
        <v>42.344065</v>
      </c>
      <c r="AE15" t="n">
        <v>-71.099303</v>
      </c>
      <c r="AF15" t="s">
        <v>317</v>
      </c>
      <c r="AG15" t="s">
        <v>318</v>
      </c>
      <c r="AH15" t="s">
        <v>319</v>
      </c>
      <c r="AI15" t="s">
        <v>246</v>
      </c>
      <c r="AJ15" t="s">
        <v>320</v>
      </c>
      <c r="AK15" t="s">
        <v>321</v>
      </c>
      <c r="AL15" t="s">
        <v>75</v>
      </c>
      <c r="AM15" t="s">
        <v>76</v>
      </c>
      <c r="AN15" t="s">
        <v>322</v>
      </c>
      <c r="AO15" t="s">
        <v>313</v>
      </c>
      <c r="AP15" t="s">
        <v>323</v>
      </c>
      <c r="AQ15" t="s">
        <v>324</v>
      </c>
      <c r="AR15" t="n">
        <v>2015.0</v>
      </c>
      <c r="AS15" t="s">
        <v>305</v>
      </c>
      <c r="AT15" t="n">
        <v>354568.0</v>
      </c>
      <c r="AU15" t="s">
        <v>0</v>
      </c>
    </row>
    <row r="16">
      <c r="A16" t="n">
        <v>571.0</v>
      </c>
      <c r="B16" t="s">
        <v>325</v>
      </c>
      <c r="C16" t="s">
        <v>326</v>
      </c>
      <c r="D16" t="s">
        <v>327</v>
      </c>
      <c r="E16" s="1">
        <f>HYPERLINK("https://projectreporter.nih.gov/project_info_description.cfm?aid=8701325","Cohort study of mortality and morbidity in transgender persons")</f>
      </c>
      <c r="F16" t="s">
        <v>328</v>
      </c>
      <c r="G16" t="s">
        <v>52</v>
      </c>
      <c r="H16" t="n">
        <v>8701325.0</v>
      </c>
      <c r="I16" t="s">
        <v>329</v>
      </c>
      <c r="J16" t="s">
        <v>212</v>
      </c>
      <c r="K16" s="1">
        <f>HYPERLINK("https://projectreporter.nih.gov/project_info_details.cfm?aid=8701325","5R21HD076387-02")</f>
      </c>
      <c r="L16" t="n">
        <v>5.0</v>
      </c>
      <c r="M16" t="s">
        <v>130</v>
      </c>
      <c r="N16" t="s">
        <v>56</v>
      </c>
      <c r="O16" t="s">
        <v>330</v>
      </c>
      <c r="P16" t="s">
        <v>88</v>
      </c>
      <c r="Q16" t="s">
        <v>0</v>
      </c>
      <c r="R16" t="s">
        <v>331</v>
      </c>
      <c r="S16" t="s">
        <v>332</v>
      </c>
      <c r="T16" t="s">
        <v>313</v>
      </c>
      <c r="U16" t="s">
        <v>333</v>
      </c>
      <c r="V16" t="s">
        <v>0</v>
      </c>
      <c r="W16" t="n">
        <v>8309432.0</v>
      </c>
      <c r="X16" t="s">
        <v>334</v>
      </c>
      <c r="Y16" t="s">
        <v>94</v>
      </c>
      <c r="Z16" t="s">
        <v>58</v>
      </c>
      <c r="AA16" t="s">
        <v>335</v>
      </c>
      <c r="AB16" t="s">
        <v>336</v>
      </c>
      <c r="AC16" t="s">
        <v>68</v>
      </c>
      <c r="AD16" t="n">
        <v>33.794659</v>
      </c>
      <c r="AE16" t="n">
        <v>-84.325514</v>
      </c>
      <c r="AF16" t="s">
        <v>337</v>
      </c>
      <c r="AG16" t="s">
        <v>338</v>
      </c>
      <c r="AH16" t="s">
        <v>339</v>
      </c>
      <c r="AI16" t="s">
        <v>340</v>
      </c>
      <c r="AJ16" t="s">
        <v>341</v>
      </c>
      <c r="AK16" t="s">
        <v>342</v>
      </c>
      <c r="AL16" t="s">
        <v>75</v>
      </c>
      <c r="AM16" t="s">
        <v>76</v>
      </c>
      <c r="AN16" t="s">
        <v>343</v>
      </c>
      <c r="AO16" t="s">
        <v>313</v>
      </c>
      <c r="AP16" t="s">
        <v>78</v>
      </c>
      <c r="AQ16" t="s">
        <v>79</v>
      </c>
      <c r="AR16" t="n">
        <v>2014.0</v>
      </c>
      <c r="AS16" t="s">
        <v>52</v>
      </c>
      <c r="AT16" t="n">
        <v>189186.0</v>
      </c>
      <c r="AU16" t="s">
        <v>0</v>
      </c>
    </row>
    <row r="17">
      <c r="A17" t="n">
        <v>564.0</v>
      </c>
      <c r="B17" t="s">
        <v>48</v>
      </c>
      <c r="C17" t="s">
        <v>344</v>
      </c>
      <c r="D17" t="s">
        <v>345</v>
      </c>
      <c r="E17" s="1">
        <f>HYPERLINK("https://projectreporter.nih.gov/project_info_description.cfm?aid=9637401","The Family Environment, Social Support, and Health in Transgender Youth")</f>
      </c>
      <c r="F17" t="s">
        <v>346</v>
      </c>
      <c r="G17" t="s">
        <v>52</v>
      </c>
      <c r="H17" t="n">
        <v>9637401.0</v>
      </c>
      <c r="I17" t="s">
        <v>347</v>
      </c>
      <c r="J17" t="s">
        <v>348</v>
      </c>
      <c r="K17" s="1">
        <f>HYPERLINK("https://projectreporter.nih.gov/project_info_details.cfm?aid=9637401","5R00HD082340-05")</f>
      </c>
      <c r="L17" t="n">
        <v>5.0</v>
      </c>
      <c r="M17" t="s">
        <v>349</v>
      </c>
      <c r="N17" t="s">
        <v>56</v>
      </c>
      <c r="O17" t="s">
        <v>350</v>
      </c>
      <c r="P17" t="s">
        <v>58</v>
      </c>
      <c r="Q17" t="s">
        <v>0</v>
      </c>
      <c r="R17" t="s">
        <v>292</v>
      </c>
      <c r="S17" t="s">
        <v>351</v>
      </c>
      <c r="T17" t="s">
        <v>352</v>
      </c>
      <c r="U17" t="s">
        <v>353</v>
      </c>
      <c r="V17" t="s">
        <v>0</v>
      </c>
      <c r="W17" t="n">
        <v>1.1817394E7</v>
      </c>
      <c r="X17" t="s">
        <v>354</v>
      </c>
      <c r="Y17" t="s">
        <v>94</v>
      </c>
      <c r="Z17" t="s">
        <v>137</v>
      </c>
      <c r="AA17" t="s">
        <v>66</v>
      </c>
      <c r="AB17" t="s">
        <v>355</v>
      </c>
      <c r="AC17" t="s">
        <v>68</v>
      </c>
      <c r="AD17" t="n">
        <v>42.336891</v>
      </c>
      <c r="AE17" t="n">
        <v>-71.105371</v>
      </c>
      <c r="AF17" t="s">
        <v>356</v>
      </c>
      <c r="AG17" t="s">
        <v>357</v>
      </c>
      <c r="AH17" t="s">
        <v>319</v>
      </c>
      <c r="AI17" t="s">
        <v>246</v>
      </c>
      <c r="AJ17" t="s">
        <v>73</v>
      </c>
      <c r="AK17" t="s">
        <v>358</v>
      </c>
      <c r="AL17" t="s">
        <v>75</v>
      </c>
      <c r="AM17" t="s">
        <v>76</v>
      </c>
      <c r="AN17" t="s">
        <v>359</v>
      </c>
      <c r="AO17" t="s">
        <v>352</v>
      </c>
      <c r="AP17" t="s">
        <v>78</v>
      </c>
      <c r="AQ17" t="s">
        <v>79</v>
      </c>
      <c r="AR17" t="n">
        <v>2019.0</v>
      </c>
      <c r="AS17" t="s">
        <v>52</v>
      </c>
      <c r="AT17" t="n">
        <v>233891.0</v>
      </c>
      <c r="AU17" t="s">
        <v>0</v>
      </c>
    </row>
    <row r="18">
      <c r="A18" t="n">
        <v>540.0</v>
      </c>
      <c r="B18" t="s">
        <v>360</v>
      </c>
      <c r="C18" t="s">
        <v>361</v>
      </c>
      <c r="D18" t="s">
        <v>362</v>
      </c>
      <c r="E18" s="1">
        <f>HYPERLINK("https://projectreporter.nih.gov/project_info_description.cfm?aid=9335186","Intervention to Overcome Mental Health Disparities in Criminally-Justice Involved Transgender Women")</f>
      </c>
      <c r="F18" t="s">
        <v>363</v>
      </c>
      <c r="G18" t="s">
        <v>305</v>
      </c>
      <c r="H18" t="n">
        <v>9335186.0</v>
      </c>
      <c r="I18" t="s">
        <v>364</v>
      </c>
      <c r="J18" t="s">
        <v>365</v>
      </c>
      <c r="K18" s="1">
        <f>HYPERLINK("https://projectreporter.nih.gov/project_info_details.cfm?aid=9335186","5F31MD011203-02")</f>
      </c>
      <c r="L18" t="n">
        <v>5.0</v>
      </c>
      <c r="M18" t="s">
        <v>366</v>
      </c>
      <c r="N18" t="s">
        <v>309</v>
      </c>
      <c r="O18" t="s">
        <v>367</v>
      </c>
      <c r="P18" t="s">
        <v>88</v>
      </c>
      <c r="Q18" t="s">
        <v>0</v>
      </c>
      <c r="R18" t="s">
        <v>368</v>
      </c>
      <c r="S18" t="s">
        <v>226</v>
      </c>
      <c r="T18" t="s">
        <v>184</v>
      </c>
      <c r="U18" t="s">
        <v>369</v>
      </c>
      <c r="V18" t="s">
        <v>0</v>
      </c>
      <c r="W18" t="n">
        <v>1.2250333E7</v>
      </c>
      <c r="X18" t="s">
        <v>370</v>
      </c>
      <c r="Y18" t="s">
        <v>94</v>
      </c>
      <c r="Z18" t="s">
        <v>182</v>
      </c>
      <c r="AA18" t="s">
        <v>335</v>
      </c>
      <c r="AB18" t="s">
        <v>371</v>
      </c>
      <c r="AC18" t="s">
        <v>68</v>
      </c>
      <c r="AD18" t="n">
        <v>41.302711</v>
      </c>
      <c r="AE18" t="n">
        <v>-72.931986</v>
      </c>
      <c r="AF18" t="s">
        <v>372</v>
      </c>
      <c r="AG18" t="s">
        <v>373</v>
      </c>
      <c r="AH18" t="s">
        <v>374</v>
      </c>
      <c r="AI18" t="s">
        <v>375</v>
      </c>
      <c r="AJ18" t="s">
        <v>376</v>
      </c>
      <c r="AK18" t="s">
        <v>377</v>
      </c>
      <c r="AL18" t="s">
        <v>75</v>
      </c>
      <c r="AM18" t="s">
        <v>76</v>
      </c>
      <c r="AN18" t="s">
        <v>378</v>
      </c>
      <c r="AO18" t="s">
        <v>184</v>
      </c>
      <c r="AP18" t="s">
        <v>323</v>
      </c>
      <c r="AQ18" t="s">
        <v>123</v>
      </c>
      <c r="AR18" t="n">
        <v>2017.0</v>
      </c>
      <c r="AS18" t="s">
        <v>305</v>
      </c>
      <c r="AT18" t="n">
        <v>44044.0</v>
      </c>
      <c r="AU18" t="s">
        <v>0</v>
      </c>
    </row>
    <row r="19">
      <c r="A19" t="n">
        <v>539.0</v>
      </c>
      <c r="B19" t="s">
        <v>379</v>
      </c>
      <c r="C19" t="s">
        <v>380</v>
      </c>
      <c r="D19" t="s">
        <v>381</v>
      </c>
      <c r="E19" s="1">
        <f>HYPERLINK("https://projectreporter.nih.gov/project_info_description.cfm?aid=9275870","Ethics in HIV Prevention Research Involving LGBT Youth")</f>
      </c>
      <c r="F19" t="s">
        <v>382</v>
      </c>
      <c r="G19" t="s">
        <v>305</v>
      </c>
      <c r="H19" t="n">
        <v>9275870.0</v>
      </c>
      <c r="I19" t="s">
        <v>383</v>
      </c>
      <c r="J19" t="s">
        <v>54</v>
      </c>
      <c r="K19" s="1">
        <f>HYPERLINK("https://projectreporter.nih.gov/project_info_details.cfm?aid=9275870","5R01MD009561-04")</f>
      </c>
      <c r="L19" t="n">
        <v>5.0</v>
      </c>
      <c r="M19" t="s">
        <v>55</v>
      </c>
      <c r="N19" t="s">
        <v>309</v>
      </c>
      <c r="O19" t="s">
        <v>384</v>
      </c>
      <c r="P19" t="s">
        <v>274</v>
      </c>
      <c r="Q19" t="s">
        <v>0</v>
      </c>
      <c r="R19" t="s">
        <v>311</v>
      </c>
      <c r="S19" t="s">
        <v>293</v>
      </c>
      <c r="T19" t="s">
        <v>84</v>
      </c>
      <c r="U19" t="s">
        <v>385</v>
      </c>
      <c r="V19" t="s">
        <v>0</v>
      </c>
      <c r="W19" t="n">
        <v>8315296.0</v>
      </c>
      <c r="X19" t="s">
        <v>386</v>
      </c>
      <c r="Y19" t="s">
        <v>387</v>
      </c>
      <c r="Z19" t="s">
        <v>137</v>
      </c>
      <c r="AA19" t="s">
        <v>335</v>
      </c>
      <c r="AB19" t="s">
        <v>388</v>
      </c>
      <c r="AC19" t="s">
        <v>68</v>
      </c>
      <c r="AD19" t="n">
        <v>41.893859</v>
      </c>
      <c r="AE19" t="n">
        <v>-87.614257</v>
      </c>
      <c r="AF19" t="s">
        <v>389</v>
      </c>
      <c r="AG19" t="s">
        <v>390</v>
      </c>
      <c r="AH19" t="s">
        <v>141</v>
      </c>
      <c r="AI19" t="s">
        <v>142</v>
      </c>
      <c r="AJ19" t="s">
        <v>101</v>
      </c>
      <c r="AK19" t="s">
        <v>391</v>
      </c>
      <c r="AL19" t="s">
        <v>75</v>
      </c>
      <c r="AM19" t="s">
        <v>76</v>
      </c>
      <c r="AN19" t="s">
        <v>392</v>
      </c>
      <c r="AO19" t="s">
        <v>84</v>
      </c>
      <c r="AP19" t="s">
        <v>323</v>
      </c>
      <c r="AQ19" t="s">
        <v>79</v>
      </c>
      <c r="AR19" t="n">
        <v>2017.0</v>
      </c>
      <c r="AS19" t="s">
        <v>305</v>
      </c>
      <c r="AT19" t="n">
        <v>465548.0</v>
      </c>
      <c r="AU19" t="s">
        <v>0</v>
      </c>
    </row>
    <row r="20">
      <c r="A20" t="n">
        <v>534.0</v>
      </c>
      <c r="B20" t="s">
        <v>393</v>
      </c>
      <c r="C20" t="s">
        <v>394</v>
      </c>
      <c r="D20" t="s">
        <v>395</v>
      </c>
      <c r="E20" s="1">
        <f>HYPERLINK("https://projectreporter.nih.gov/project_info_description.cfm?aid=9436443","Characteristics of suicide and homicide in a vulnerable population")</f>
      </c>
      <c r="F20" t="s">
        <v>396</v>
      </c>
      <c r="G20" t="s">
        <v>83</v>
      </c>
      <c r="H20" t="n">
        <v>9436443.0</v>
      </c>
      <c r="I20" t="s">
        <v>397</v>
      </c>
      <c r="J20" t="s">
        <v>255</v>
      </c>
      <c r="K20" s="1">
        <f>HYPERLINK("https://projectreporter.nih.gov/project_info_details.cfm?aid=9436443","1R21MH115344-01")</f>
      </c>
      <c r="L20" t="n">
        <v>1.0</v>
      </c>
      <c r="M20" t="s">
        <v>130</v>
      </c>
      <c r="N20" t="s">
        <v>86</v>
      </c>
      <c r="O20" t="s">
        <v>398</v>
      </c>
      <c r="P20" t="s">
        <v>113</v>
      </c>
      <c r="Q20" t="s">
        <v>0</v>
      </c>
      <c r="R20" t="s">
        <v>399</v>
      </c>
      <c r="S20" t="s">
        <v>400</v>
      </c>
      <c r="T20" t="s">
        <v>401</v>
      </c>
      <c r="U20" t="s">
        <v>277</v>
      </c>
      <c r="V20" t="s">
        <v>0</v>
      </c>
      <c r="W20" t="n">
        <v>1961201.0</v>
      </c>
      <c r="X20" t="s">
        <v>402</v>
      </c>
      <c r="Y20" t="s">
        <v>403</v>
      </c>
      <c r="Z20" t="s">
        <v>404</v>
      </c>
      <c r="AA20" t="s">
        <v>335</v>
      </c>
      <c r="AB20" t="s">
        <v>405</v>
      </c>
      <c r="AC20" t="s">
        <v>68</v>
      </c>
      <c r="AD20" t="n">
        <v>34.071312</v>
      </c>
      <c r="AE20" t="n">
        <v>-118.443545</v>
      </c>
      <c r="AF20" t="s">
        <v>406</v>
      </c>
      <c r="AG20" t="s">
        <v>407</v>
      </c>
      <c r="AH20" t="s">
        <v>71</v>
      </c>
      <c r="AI20" t="s">
        <v>72</v>
      </c>
      <c r="AJ20" t="s">
        <v>341</v>
      </c>
      <c r="AK20" t="s">
        <v>408</v>
      </c>
      <c r="AL20" t="s">
        <v>75</v>
      </c>
      <c r="AM20" t="s">
        <v>76</v>
      </c>
      <c r="AN20" t="s">
        <v>400</v>
      </c>
      <c r="AO20" t="s">
        <v>409</v>
      </c>
      <c r="AP20" t="s">
        <v>105</v>
      </c>
      <c r="AQ20" t="s">
        <v>79</v>
      </c>
      <c r="AR20" t="n">
        <v>2018.0</v>
      </c>
      <c r="AS20" t="s">
        <v>83</v>
      </c>
      <c r="AT20" t="n">
        <v>224074.0</v>
      </c>
      <c r="AU20" t="s">
        <v>0</v>
      </c>
    </row>
    <row r="21">
      <c r="A21" t="n">
        <v>533.0</v>
      </c>
      <c r="B21" t="s">
        <v>48</v>
      </c>
      <c r="C21" t="s">
        <v>410</v>
      </c>
      <c r="D21" t="s">
        <v>411</v>
      </c>
      <c r="E21" s="1">
        <f>HYPERLINK("https://projectreporter.nih.gov/project_info_description.cfm?aid=9635730","Maturation, Infectibility, and Trauma(MIT) Contributes to HIV Susceptibility in Adolescents")</f>
      </c>
      <c r="F21" t="s">
        <v>412</v>
      </c>
      <c r="G21" t="s">
        <v>413</v>
      </c>
      <c r="H21" t="n">
        <v>9635730.0</v>
      </c>
      <c r="I21" t="s">
        <v>414</v>
      </c>
      <c r="J21" t="s">
        <v>415</v>
      </c>
      <c r="K21" s="1">
        <f>HYPERLINK("https://projectreporter.nih.gov/project_info_details.cfm?aid=9635730","5R01AI128796-03")</f>
      </c>
      <c r="L21" t="n">
        <v>5.0</v>
      </c>
      <c r="M21" t="s">
        <v>55</v>
      </c>
      <c r="N21" t="s">
        <v>416</v>
      </c>
      <c r="O21" t="s">
        <v>417</v>
      </c>
      <c r="P21" t="s">
        <v>182</v>
      </c>
      <c r="Q21" t="s">
        <v>0</v>
      </c>
      <c r="R21" t="s">
        <v>418</v>
      </c>
      <c r="S21" t="s">
        <v>419</v>
      </c>
      <c r="T21" t="s">
        <v>352</v>
      </c>
      <c r="U21" t="s">
        <v>420</v>
      </c>
      <c r="V21" t="s">
        <v>0</v>
      </c>
      <c r="W21" t="n">
        <v>2089719.0</v>
      </c>
      <c r="X21" t="s">
        <v>421</v>
      </c>
      <c r="Y21" t="s">
        <v>422</v>
      </c>
      <c r="Z21" t="s">
        <v>404</v>
      </c>
      <c r="AA21" t="s">
        <v>117</v>
      </c>
      <c r="AB21" t="s">
        <v>405</v>
      </c>
      <c r="AC21" t="s">
        <v>68</v>
      </c>
      <c r="AD21" t="n">
        <v>34.071312</v>
      </c>
      <c r="AE21" t="n">
        <v>-118.443545</v>
      </c>
      <c r="AF21" t="s">
        <v>406</v>
      </c>
      <c r="AG21" t="s">
        <v>407</v>
      </c>
      <c r="AH21" t="s">
        <v>71</v>
      </c>
      <c r="AI21" t="s">
        <v>72</v>
      </c>
      <c r="AJ21" t="s">
        <v>101</v>
      </c>
      <c r="AK21" t="s">
        <v>408</v>
      </c>
      <c r="AL21" t="s">
        <v>75</v>
      </c>
      <c r="AM21" t="s">
        <v>76</v>
      </c>
      <c r="AN21" t="s">
        <v>359</v>
      </c>
      <c r="AO21" t="s">
        <v>423</v>
      </c>
      <c r="AP21" t="s">
        <v>424</v>
      </c>
      <c r="AQ21" t="s">
        <v>79</v>
      </c>
      <c r="AR21" t="n">
        <v>2019.0</v>
      </c>
      <c r="AS21" t="s">
        <v>413</v>
      </c>
      <c r="AT21" t="n">
        <v>268733.0</v>
      </c>
      <c r="AU21" t="s">
        <v>0</v>
      </c>
    </row>
    <row r="22">
      <c r="A22" t="n">
        <v>533.0</v>
      </c>
      <c r="B22" t="s">
        <v>48</v>
      </c>
      <c r="C22" t="s">
        <v>410</v>
      </c>
      <c r="D22" t="s">
        <v>411</v>
      </c>
      <c r="E22" s="1">
        <f>HYPERLINK("https://projectreporter.nih.gov/project_info_description.cfm?aid=9635730","Maturation, Infectibility, and Trauma(MIT) Contributes to HIV Susceptibility in Adolescents")</f>
      </c>
      <c r="F22" t="s">
        <v>412</v>
      </c>
      <c r="G22" t="s">
        <v>413</v>
      </c>
      <c r="H22" t="n">
        <v>9635730.0</v>
      </c>
      <c r="I22" t="s">
        <v>414</v>
      </c>
      <c r="J22" t="s">
        <v>415</v>
      </c>
      <c r="K22" s="1">
        <f>HYPERLINK("https://projectreporter.nih.gov/project_info_details.cfm?aid=9635730","5R01AI128796-03")</f>
      </c>
      <c r="L22" t="n">
        <v>5.0</v>
      </c>
      <c r="M22" t="s">
        <v>55</v>
      </c>
      <c r="N22" t="s">
        <v>416</v>
      </c>
      <c r="O22" t="s">
        <v>417</v>
      </c>
      <c r="P22" t="s">
        <v>182</v>
      </c>
      <c r="Q22" t="s">
        <v>0</v>
      </c>
      <c r="R22" t="s">
        <v>418</v>
      </c>
      <c r="S22" t="s">
        <v>419</v>
      </c>
      <c r="T22" t="s">
        <v>352</v>
      </c>
      <c r="U22" t="s">
        <v>420</v>
      </c>
      <c r="V22" t="s">
        <v>0</v>
      </c>
      <c r="W22" t="n">
        <v>2089719.0</v>
      </c>
      <c r="X22" t="s">
        <v>421</v>
      </c>
      <c r="Y22" t="s">
        <v>422</v>
      </c>
      <c r="Z22" t="s">
        <v>404</v>
      </c>
      <c r="AA22" t="s">
        <v>117</v>
      </c>
      <c r="AB22" t="s">
        <v>405</v>
      </c>
      <c r="AC22" t="s">
        <v>68</v>
      </c>
      <c r="AD22" t="n">
        <v>34.071312</v>
      </c>
      <c r="AE22" t="n">
        <v>-118.443545</v>
      </c>
      <c r="AF22" t="s">
        <v>406</v>
      </c>
      <c r="AG22" t="s">
        <v>407</v>
      </c>
      <c r="AH22" t="s">
        <v>71</v>
      </c>
      <c r="AI22" t="s">
        <v>72</v>
      </c>
      <c r="AJ22" t="s">
        <v>101</v>
      </c>
      <c r="AK22" t="s">
        <v>408</v>
      </c>
      <c r="AL22" t="s">
        <v>75</v>
      </c>
      <c r="AM22" t="s">
        <v>76</v>
      </c>
      <c r="AN22" t="s">
        <v>359</v>
      </c>
      <c r="AO22" t="s">
        <v>423</v>
      </c>
      <c r="AP22" t="s">
        <v>424</v>
      </c>
      <c r="AQ22" t="s">
        <v>79</v>
      </c>
      <c r="AR22" t="n">
        <v>2019.0</v>
      </c>
      <c r="AS22" t="s">
        <v>52</v>
      </c>
      <c r="AT22" t="n">
        <v>250000.0</v>
      </c>
      <c r="AU22" t="s">
        <v>0</v>
      </c>
    </row>
    <row r="23">
      <c r="A23" t="n">
        <v>533.0</v>
      </c>
      <c r="B23" t="s">
        <v>48</v>
      </c>
      <c r="C23" t="s">
        <v>410</v>
      </c>
      <c r="D23" t="s">
        <v>411</v>
      </c>
      <c r="E23" s="1">
        <f>HYPERLINK("https://projectreporter.nih.gov/project_info_description.cfm?aid=9635730","Maturation, Infectibility, and Trauma(MIT) Contributes to HIV Susceptibility in Adolescents")</f>
      </c>
      <c r="F23" t="s">
        <v>412</v>
      </c>
      <c r="G23" t="s">
        <v>413</v>
      </c>
      <c r="H23" t="n">
        <v>9635730.0</v>
      </c>
      <c r="I23" t="s">
        <v>414</v>
      </c>
      <c r="J23" t="s">
        <v>415</v>
      </c>
      <c r="K23" s="1">
        <f>HYPERLINK("https://projectreporter.nih.gov/project_info_details.cfm?aid=9635730","5R01AI128796-03")</f>
      </c>
      <c r="L23" t="n">
        <v>5.0</v>
      </c>
      <c r="M23" t="s">
        <v>55</v>
      </c>
      <c r="N23" t="s">
        <v>416</v>
      </c>
      <c r="O23" t="s">
        <v>417</v>
      </c>
      <c r="P23" t="s">
        <v>182</v>
      </c>
      <c r="Q23" t="s">
        <v>0</v>
      </c>
      <c r="R23" t="s">
        <v>418</v>
      </c>
      <c r="S23" t="s">
        <v>419</v>
      </c>
      <c r="T23" t="s">
        <v>352</v>
      </c>
      <c r="U23" t="s">
        <v>420</v>
      </c>
      <c r="V23" t="s">
        <v>0</v>
      </c>
      <c r="W23" t="n">
        <v>2089719.0</v>
      </c>
      <c r="X23" t="s">
        <v>421</v>
      </c>
      <c r="Y23" t="s">
        <v>422</v>
      </c>
      <c r="Z23" t="s">
        <v>404</v>
      </c>
      <c r="AA23" t="s">
        <v>117</v>
      </c>
      <c r="AB23" t="s">
        <v>405</v>
      </c>
      <c r="AC23" t="s">
        <v>68</v>
      </c>
      <c r="AD23" t="n">
        <v>34.071312</v>
      </c>
      <c r="AE23" t="n">
        <v>-118.443545</v>
      </c>
      <c r="AF23" t="s">
        <v>406</v>
      </c>
      <c r="AG23" t="s">
        <v>407</v>
      </c>
      <c r="AH23" t="s">
        <v>71</v>
      </c>
      <c r="AI23" t="s">
        <v>72</v>
      </c>
      <c r="AJ23" t="s">
        <v>101</v>
      </c>
      <c r="AK23" t="s">
        <v>408</v>
      </c>
      <c r="AL23" t="s">
        <v>75</v>
      </c>
      <c r="AM23" t="s">
        <v>76</v>
      </c>
      <c r="AN23" t="s">
        <v>359</v>
      </c>
      <c r="AO23" t="s">
        <v>423</v>
      </c>
      <c r="AP23" t="s">
        <v>424</v>
      </c>
      <c r="AQ23" t="s">
        <v>79</v>
      </c>
      <c r="AR23" t="n">
        <v>2019.0</v>
      </c>
      <c r="AS23" t="s">
        <v>425</v>
      </c>
      <c r="AT23" t="n">
        <v>75000.0</v>
      </c>
      <c r="AU23" t="s">
        <v>0</v>
      </c>
    </row>
    <row r="24">
      <c r="A24" t="n">
        <v>528.0</v>
      </c>
      <c r="B24" t="s">
        <v>48</v>
      </c>
      <c r="C24" t="s">
        <v>426</v>
      </c>
      <c r="D24" t="s">
        <v>427</v>
      </c>
      <c r="E24" s="1">
        <f>HYPERLINK("https://projectreporter.nih.gov/project_info_description.cfm?aid=9740939","Gender identity and own body perception implications for the neurobiology of gender dysphoria")</f>
      </c>
      <c r="F24" t="s">
        <v>428</v>
      </c>
      <c r="G24" t="s">
        <v>52</v>
      </c>
      <c r="H24" t="n">
        <v>9740939.0</v>
      </c>
      <c r="I24" t="s">
        <v>205</v>
      </c>
      <c r="J24" t="s">
        <v>429</v>
      </c>
      <c r="K24" s="1">
        <f>HYPERLINK("https://projectreporter.nih.gov/project_info_details.cfm?aid=9740939","5R01HD087712-03")</f>
      </c>
      <c r="L24" t="n">
        <v>5.0</v>
      </c>
      <c r="M24" t="s">
        <v>55</v>
      </c>
      <c r="N24" t="s">
        <v>56</v>
      </c>
      <c r="O24" t="s">
        <v>430</v>
      </c>
      <c r="P24" t="s">
        <v>182</v>
      </c>
      <c r="Q24" t="s">
        <v>0</v>
      </c>
      <c r="R24" t="s">
        <v>431</v>
      </c>
      <c r="S24" t="s">
        <v>432</v>
      </c>
      <c r="T24" t="s">
        <v>433</v>
      </c>
      <c r="U24" t="s">
        <v>135</v>
      </c>
      <c r="V24" t="s">
        <v>0</v>
      </c>
      <c r="W24" t="n">
        <v>8559484.0</v>
      </c>
      <c r="X24" t="s">
        <v>434</v>
      </c>
      <c r="Y24" t="s">
        <v>435</v>
      </c>
      <c r="Z24" t="s">
        <v>404</v>
      </c>
      <c r="AA24" t="s">
        <v>436</v>
      </c>
      <c r="AB24" t="s">
        <v>405</v>
      </c>
      <c r="AC24" t="s">
        <v>68</v>
      </c>
      <c r="AD24" t="n">
        <v>34.071312</v>
      </c>
      <c r="AE24" t="n">
        <v>-118.443545</v>
      </c>
      <c r="AF24" t="s">
        <v>406</v>
      </c>
      <c r="AG24" t="s">
        <v>407</v>
      </c>
      <c r="AH24" t="s">
        <v>71</v>
      </c>
      <c r="AI24" t="s">
        <v>72</v>
      </c>
      <c r="AJ24" t="s">
        <v>101</v>
      </c>
      <c r="AK24" t="s">
        <v>408</v>
      </c>
      <c r="AL24" t="s">
        <v>75</v>
      </c>
      <c r="AM24" t="s">
        <v>76</v>
      </c>
      <c r="AN24" t="s">
        <v>437</v>
      </c>
      <c r="AO24" t="s">
        <v>438</v>
      </c>
      <c r="AP24" t="s">
        <v>78</v>
      </c>
      <c r="AQ24" t="s">
        <v>79</v>
      </c>
      <c r="AR24" t="n">
        <v>2019.0</v>
      </c>
      <c r="AS24" t="s">
        <v>52</v>
      </c>
      <c r="AT24" t="n">
        <v>531202.0</v>
      </c>
      <c r="AU24" t="s">
        <v>0</v>
      </c>
    </row>
    <row r="25">
      <c r="A25" t="n">
        <v>519.0</v>
      </c>
      <c r="B25" t="s">
        <v>439</v>
      </c>
      <c r="C25" t="s">
        <v>440</v>
      </c>
      <c r="D25" t="s">
        <v>441</v>
      </c>
      <c r="E25" s="1">
        <f>HYPERLINK("https://projectreporter.nih.gov/project_info_description.cfm?aid=9169143","Minority stress, substance/alcohol use, and non-prescription testosterone among transgender female-to-males")</f>
      </c>
      <c r="F25" t="s">
        <v>442</v>
      </c>
      <c r="G25" t="s">
        <v>210</v>
      </c>
      <c r="H25" t="n">
        <v>9169143.0</v>
      </c>
      <c r="I25" t="s">
        <v>443</v>
      </c>
      <c r="J25" t="s">
        <v>444</v>
      </c>
      <c r="K25" s="1">
        <f>HYPERLINK("https://projectreporter.nih.gov/project_info_details.cfm?aid=9169143","1R03DA042226-01")</f>
      </c>
      <c r="L25" t="n">
        <v>1.0</v>
      </c>
      <c r="M25" t="s">
        <v>445</v>
      </c>
      <c r="N25" t="s">
        <v>213</v>
      </c>
      <c r="O25" t="s">
        <v>446</v>
      </c>
      <c r="P25" t="s">
        <v>113</v>
      </c>
      <c r="Q25" t="s">
        <v>0</v>
      </c>
      <c r="R25" t="s">
        <v>447</v>
      </c>
      <c r="S25" t="s">
        <v>448</v>
      </c>
      <c r="T25" t="s">
        <v>449</v>
      </c>
      <c r="U25" t="s">
        <v>450</v>
      </c>
      <c r="V25" t="s">
        <v>0</v>
      </c>
      <c r="W25" t="n">
        <v>1.1688511E7</v>
      </c>
      <c r="X25" t="s">
        <v>451</v>
      </c>
      <c r="Y25" t="s">
        <v>94</v>
      </c>
      <c r="Z25" t="s">
        <v>452</v>
      </c>
      <c r="AA25" t="s">
        <v>167</v>
      </c>
      <c r="AB25" t="s">
        <v>453</v>
      </c>
      <c r="AC25" t="s">
        <v>68</v>
      </c>
      <c r="AD25" t="n">
        <v>33.566625</v>
      </c>
      <c r="AE25" t="n">
        <v>-101.886336</v>
      </c>
      <c r="AF25" t="s">
        <v>454</v>
      </c>
      <c r="AG25" t="s">
        <v>455</v>
      </c>
      <c r="AH25" t="s">
        <v>456</v>
      </c>
      <c r="AI25" t="s">
        <v>457</v>
      </c>
      <c r="AJ25" t="s">
        <v>267</v>
      </c>
      <c r="AK25" t="s">
        <v>458</v>
      </c>
      <c r="AL25" t="s">
        <v>75</v>
      </c>
      <c r="AM25" t="s">
        <v>76</v>
      </c>
      <c r="AN25" t="s">
        <v>448</v>
      </c>
      <c r="AO25" t="s">
        <v>449</v>
      </c>
      <c r="AP25" t="s">
        <v>227</v>
      </c>
      <c r="AQ25" t="s">
        <v>79</v>
      </c>
      <c r="AR25" t="n">
        <v>2016.0</v>
      </c>
      <c r="AS25" t="s">
        <v>210</v>
      </c>
      <c r="AT25" t="n">
        <v>122863.0</v>
      </c>
      <c r="AU25" t="s">
        <v>0</v>
      </c>
    </row>
    <row r="26">
      <c r="A26" t="n">
        <v>506.0</v>
      </c>
      <c r="B26" t="s">
        <v>459</v>
      </c>
      <c r="C26" t="s">
        <v>460</v>
      </c>
      <c r="D26" t="s">
        <v>461</v>
      </c>
      <c r="E26" s="1">
        <f>HYPERLINK("https://projectreporter.nih.gov/project_info_description.cfm?aid=8790778","Predictors of Substance Use and HIV Risk in Transgender Men and Women")</f>
      </c>
      <c r="F26" t="s">
        <v>462</v>
      </c>
      <c r="G26" t="s">
        <v>210</v>
      </c>
      <c r="H26" t="n">
        <v>8790778.0</v>
      </c>
      <c r="I26" t="s">
        <v>463</v>
      </c>
      <c r="J26" t="s">
        <v>464</v>
      </c>
      <c r="K26" s="1">
        <f>HYPERLINK("https://projectreporter.nih.gov/project_info_details.cfm?aid=8790778","1F32DA038557-01")</f>
      </c>
      <c r="L26" t="n">
        <v>1.0</v>
      </c>
      <c r="M26" t="s">
        <v>111</v>
      </c>
      <c r="N26" t="s">
        <v>213</v>
      </c>
      <c r="O26" t="s">
        <v>465</v>
      </c>
      <c r="P26" t="s">
        <v>113</v>
      </c>
      <c r="Q26" t="s">
        <v>0</v>
      </c>
      <c r="R26" t="s">
        <v>215</v>
      </c>
      <c r="S26" t="s">
        <v>466</v>
      </c>
      <c r="T26" t="s">
        <v>467</v>
      </c>
      <c r="U26" t="s">
        <v>468</v>
      </c>
      <c r="V26" t="s">
        <v>0</v>
      </c>
      <c r="W26" t="n">
        <v>1.2083466E7</v>
      </c>
      <c r="X26" t="s">
        <v>469</v>
      </c>
      <c r="Y26" t="s">
        <v>94</v>
      </c>
      <c r="Z26" t="s">
        <v>137</v>
      </c>
      <c r="AA26" t="s">
        <v>335</v>
      </c>
      <c r="AB26" t="s">
        <v>388</v>
      </c>
      <c r="AC26" t="s">
        <v>68</v>
      </c>
      <c r="AD26" t="n">
        <v>41.893859</v>
      </c>
      <c r="AE26" t="n">
        <v>-87.614257</v>
      </c>
      <c r="AF26" t="s">
        <v>389</v>
      </c>
      <c r="AG26" t="s">
        <v>390</v>
      </c>
      <c r="AH26" t="s">
        <v>141</v>
      </c>
      <c r="AI26" t="s">
        <v>142</v>
      </c>
      <c r="AJ26" t="s">
        <v>101</v>
      </c>
      <c r="AK26" t="s">
        <v>391</v>
      </c>
      <c r="AL26" t="s">
        <v>75</v>
      </c>
      <c r="AM26" t="s">
        <v>76</v>
      </c>
      <c r="AN26" t="s">
        <v>466</v>
      </c>
      <c r="AO26" t="s">
        <v>467</v>
      </c>
      <c r="AP26" t="s">
        <v>227</v>
      </c>
      <c r="AQ26" t="s">
        <v>123</v>
      </c>
      <c r="AR26" t="n">
        <v>2014.0</v>
      </c>
      <c r="AS26" t="s">
        <v>210</v>
      </c>
      <c r="AT26" t="n">
        <v>49850.0</v>
      </c>
      <c r="AU26" t="s">
        <v>0</v>
      </c>
    </row>
    <row r="27">
      <c r="A27" t="n">
        <v>488.0</v>
      </c>
      <c r="B27" t="s">
        <v>48</v>
      </c>
      <c r="C27" t="s">
        <v>470</v>
      </c>
      <c r="D27" t="s">
        <v>471</v>
      </c>
      <c r="E27" s="1">
        <f>HYPERLINK("https://projectreporter.nih.gov/project_info_description.cfm?aid=9663126","Family Quality of Life Among LGBT Caregivers of Persons with Dementia")</f>
      </c>
      <c r="F27" t="s">
        <v>472</v>
      </c>
      <c r="G27" t="s">
        <v>473</v>
      </c>
      <c r="H27" t="n">
        <v>9663126.0</v>
      </c>
      <c r="I27" t="s">
        <v>474</v>
      </c>
      <c r="J27" t="s">
        <v>475</v>
      </c>
      <c r="K27" s="1">
        <f>HYPERLINK("https://projectreporter.nih.gov/project_info_details.cfm?aid=9663126","1R03AG058528-01A1")</f>
      </c>
      <c r="L27" t="n">
        <v>1.0</v>
      </c>
      <c r="M27" t="s">
        <v>445</v>
      </c>
      <c r="N27" t="s">
        <v>476</v>
      </c>
      <c r="O27" t="s">
        <v>477</v>
      </c>
      <c r="P27" t="s">
        <v>113</v>
      </c>
      <c r="Q27" t="s">
        <v>236</v>
      </c>
      <c r="R27" t="s">
        <v>478</v>
      </c>
      <c r="S27" t="s">
        <v>359</v>
      </c>
      <c r="T27" t="s">
        <v>352</v>
      </c>
      <c r="U27" t="s">
        <v>479</v>
      </c>
      <c r="V27" t="s">
        <v>0</v>
      </c>
      <c r="W27" t="n">
        <v>1.0467736E7</v>
      </c>
      <c r="X27" t="s">
        <v>480</v>
      </c>
      <c r="Y27" t="s">
        <v>94</v>
      </c>
      <c r="Z27" t="s">
        <v>88</v>
      </c>
      <c r="AA27" t="s">
        <v>436</v>
      </c>
      <c r="AB27" t="s">
        <v>481</v>
      </c>
      <c r="AC27" t="s">
        <v>68</v>
      </c>
      <c r="AD27" t="n">
        <v>35.958637</v>
      </c>
      <c r="AE27" t="n">
        <v>-83.92948</v>
      </c>
      <c r="AF27" t="s">
        <v>482</v>
      </c>
      <c r="AG27" t="s">
        <v>483</v>
      </c>
      <c r="AH27" t="s">
        <v>484</v>
      </c>
      <c r="AI27" t="s">
        <v>485</v>
      </c>
      <c r="AJ27" t="s">
        <v>486</v>
      </c>
      <c r="AK27" t="s">
        <v>487</v>
      </c>
      <c r="AL27" t="s">
        <v>75</v>
      </c>
      <c r="AM27" t="s">
        <v>76</v>
      </c>
      <c r="AN27" t="s">
        <v>359</v>
      </c>
      <c r="AO27" t="s">
        <v>423</v>
      </c>
      <c r="AP27" t="s">
        <v>488</v>
      </c>
      <c r="AQ27" t="s">
        <v>79</v>
      </c>
      <c r="AR27" t="n">
        <v>2019.0</v>
      </c>
      <c r="AS27" t="s">
        <v>473</v>
      </c>
      <c r="AT27" t="n">
        <v>75500.0</v>
      </c>
      <c r="AU27" t="s">
        <v>0</v>
      </c>
    </row>
    <row r="28">
      <c r="A28" t="n">
        <v>484.0</v>
      </c>
      <c r="B28" t="s">
        <v>489</v>
      </c>
      <c r="C28" t="s">
        <v>490</v>
      </c>
      <c r="D28" t="s">
        <v>491</v>
      </c>
      <c r="E28" s="1">
        <f>HYPERLINK("https://projectreporter.nih.gov/project_info_description.cfm?aid=8865686","Longitudinal Research to Assess HIV Risk and Resilience Among Trans-Female Youth")</f>
      </c>
      <c r="F28" t="s">
        <v>492</v>
      </c>
      <c r="G28" t="s">
        <v>83</v>
      </c>
      <c r="H28" t="n">
        <v>8865686.0</v>
      </c>
      <c r="I28" t="s">
        <v>493</v>
      </c>
      <c r="J28" t="s">
        <v>494</v>
      </c>
      <c r="K28" s="1">
        <f>HYPERLINK("https://projectreporter.nih.gov/project_info_details.cfm?aid=8865686","5R01MH095598-05")</f>
      </c>
      <c r="L28" t="n">
        <v>5.0</v>
      </c>
      <c r="M28" t="s">
        <v>55</v>
      </c>
      <c r="N28" t="s">
        <v>86</v>
      </c>
      <c r="O28" t="s">
        <v>495</v>
      </c>
      <c r="P28" t="s">
        <v>58</v>
      </c>
      <c r="Q28" t="s">
        <v>0</v>
      </c>
      <c r="R28" t="s">
        <v>183</v>
      </c>
      <c r="S28" t="s">
        <v>496</v>
      </c>
      <c r="T28" t="s">
        <v>497</v>
      </c>
      <c r="U28" t="s">
        <v>498</v>
      </c>
      <c r="V28" t="s">
        <v>0</v>
      </c>
      <c r="W28" t="n">
        <v>8601445.0</v>
      </c>
      <c r="X28" t="s">
        <v>499</v>
      </c>
      <c r="Y28" t="s">
        <v>500</v>
      </c>
      <c r="Z28" t="s">
        <v>501</v>
      </c>
      <c r="AA28" t="s">
        <v>66</v>
      </c>
      <c r="AB28" t="s">
        <v>502</v>
      </c>
      <c r="AC28" t="s">
        <v>68</v>
      </c>
      <c r="AD28" t="n">
        <v>34.028857</v>
      </c>
      <c r="AE28" t="n">
        <v>-118.025835</v>
      </c>
      <c r="AF28" t="s">
        <v>503</v>
      </c>
      <c r="AG28" t="s">
        <v>504</v>
      </c>
      <c r="AH28" t="s">
        <v>505</v>
      </c>
      <c r="AI28" t="s">
        <v>72</v>
      </c>
      <c r="AJ28" t="s">
        <v>192</v>
      </c>
      <c r="AK28" t="s">
        <v>506</v>
      </c>
      <c r="AL28" t="s">
        <v>75</v>
      </c>
      <c r="AM28" t="s">
        <v>76</v>
      </c>
      <c r="AN28" t="s">
        <v>507</v>
      </c>
      <c r="AO28" t="s">
        <v>497</v>
      </c>
      <c r="AP28" t="s">
        <v>105</v>
      </c>
      <c r="AQ28" t="s">
        <v>79</v>
      </c>
      <c r="AR28" t="n">
        <v>2015.0</v>
      </c>
      <c r="AS28" t="s">
        <v>83</v>
      </c>
      <c r="AT28" t="n">
        <v>333409.0</v>
      </c>
      <c r="AU28" t="s">
        <v>0</v>
      </c>
    </row>
    <row r="29">
      <c r="A29" t="n">
        <v>480.0</v>
      </c>
      <c r="B29" t="s">
        <v>508</v>
      </c>
      <c r="C29" t="s">
        <v>509</v>
      </c>
      <c r="D29" t="s">
        <v>510</v>
      </c>
      <c r="E29" s="1">
        <f>HYPERLINK("https://projectreporter.nih.gov/project_info_description.cfm?aid=9694004","Evaluating health disparities among likely transgender persons in Oregon")</f>
      </c>
      <c r="F29" t="s">
        <v>511</v>
      </c>
      <c r="G29" t="s">
        <v>305</v>
      </c>
      <c r="H29" t="n">
        <v>9694004.0</v>
      </c>
      <c r="I29" t="s">
        <v>512</v>
      </c>
      <c r="J29" t="s">
        <v>513</v>
      </c>
      <c r="K29" s="1">
        <f>HYPERLINK("https://projectreporter.nih.gov/project_info_details.cfm?aid=9694004","3R01MD011212-03S1")</f>
      </c>
      <c r="L29" t="n">
        <v>3.0</v>
      </c>
      <c r="M29" t="s">
        <v>55</v>
      </c>
      <c r="N29" t="s">
        <v>309</v>
      </c>
      <c r="O29" t="s">
        <v>514</v>
      </c>
      <c r="P29" t="s">
        <v>182</v>
      </c>
      <c r="Q29" t="s">
        <v>515</v>
      </c>
      <c r="R29" t="s">
        <v>516</v>
      </c>
      <c r="S29" t="s">
        <v>517</v>
      </c>
      <c r="T29" t="s">
        <v>518</v>
      </c>
      <c r="U29" t="s">
        <v>0</v>
      </c>
      <c r="V29" t="s">
        <v>0</v>
      </c>
      <c r="W29" t="n">
        <v>8546230.0</v>
      </c>
      <c r="X29" t="s">
        <v>519</v>
      </c>
      <c r="Y29" t="s">
        <v>94</v>
      </c>
      <c r="Z29" t="s">
        <v>182</v>
      </c>
      <c r="AA29" t="s">
        <v>520</v>
      </c>
      <c r="AB29" t="s">
        <v>521</v>
      </c>
      <c r="AC29" t="s">
        <v>68</v>
      </c>
      <c r="AD29" t="n">
        <v>45.488429</v>
      </c>
      <c r="AE29" t="n">
        <v>-122.690599</v>
      </c>
      <c r="AF29" t="s">
        <v>522</v>
      </c>
      <c r="AG29" t="s">
        <v>523</v>
      </c>
      <c r="AH29" t="s">
        <v>524</v>
      </c>
      <c r="AI29" t="s">
        <v>525</v>
      </c>
      <c r="AJ29" t="s">
        <v>101</v>
      </c>
      <c r="AK29" t="s">
        <v>526</v>
      </c>
      <c r="AL29" t="s">
        <v>75</v>
      </c>
      <c r="AM29" t="s">
        <v>76</v>
      </c>
      <c r="AN29" t="s">
        <v>527</v>
      </c>
      <c r="AO29" t="s">
        <v>528</v>
      </c>
      <c r="AP29" t="s">
        <v>323</v>
      </c>
      <c r="AQ29" t="s">
        <v>79</v>
      </c>
      <c r="AR29" t="n">
        <v>2018.0</v>
      </c>
      <c r="AS29" t="s">
        <v>305</v>
      </c>
      <c r="AT29" t="n">
        <v>50000.0</v>
      </c>
      <c r="AU29" t="s">
        <v>0</v>
      </c>
    </row>
    <row r="30">
      <c r="A30" t="n">
        <v>480.0</v>
      </c>
      <c r="B30" t="s">
        <v>508</v>
      </c>
      <c r="C30" t="s">
        <v>509</v>
      </c>
      <c r="D30" t="s">
        <v>510</v>
      </c>
      <c r="E30" s="1">
        <f>HYPERLINK("https://projectreporter.nih.gov/project_info_description.cfm?aid=9694004","Evaluating health disparities among likely transgender persons in Oregon")</f>
      </c>
      <c r="F30" t="s">
        <v>511</v>
      </c>
      <c r="G30" t="s">
        <v>305</v>
      </c>
      <c r="H30" t="n">
        <v>9694004.0</v>
      </c>
      <c r="I30" t="s">
        <v>512</v>
      </c>
      <c r="J30" t="s">
        <v>513</v>
      </c>
      <c r="K30" s="1">
        <f>HYPERLINK("https://projectreporter.nih.gov/project_info_details.cfm?aid=9694004","3R01MD011212-03S1")</f>
      </c>
      <c r="L30" t="n">
        <v>3.0</v>
      </c>
      <c r="M30" t="s">
        <v>55</v>
      </c>
      <c r="N30" t="s">
        <v>309</v>
      </c>
      <c r="O30" t="s">
        <v>514</v>
      </c>
      <c r="P30" t="s">
        <v>182</v>
      </c>
      <c r="Q30" t="s">
        <v>515</v>
      </c>
      <c r="R30" t="s">
        <v>516</v>
      </c>
      <c r="S30" t="s">
        <v>517</v>
      </c>
      <c r="T30" t="s">
        <v>518</v>
      </c>
      <c r="U30" t="s">
        <v>0</v>
      </c>
      <c r="V30" t="s">
        <v>0</v>
      </c>
      <c r="W30" t="n">
        <v>8546230.0</v>
      </c>
      <c r="X30" t="s">
        <v>519</v>
      </c>
      <c r="Y30" t="s">
        <v>94</v>
      </c>
      <c r="Z30" t="s">
        <v>182</v>
      </c>
      <c r="AA30" t="s">
        <v>520</v>
      </c>
      <c r="AB30" t="s">
        <v>521</v>
      </c>
      <c r="AC30" t="s">
        <v>68</v>
      </c>
      <c r="AD30" t="n">
        <v>45.488429</v>
      </c>
      <c r="AE30" t="n">
        <v>-122.690599</v>
      </c>
      <c r="AF30" t="s">
        <v>522</v>
      </c>
      <c r="AG30" t="s">
        <v>523</v>
      </c>
      <c r="AH30" t="s">
        <v>524</v>
      </c>
      <c r="AI30" t="s">
        <v>525</v>
      </c>
      <c r="AJ30" t="s">
        <v>101</v>
      </c>
      <c r="AK30" t="s">
        <v>526</v>
      </c>
      <c r="AL30" t="s">
        <v>75</v>
      </c>
      <c r="AM30" t="s">
        <v>76</v>
      </c>
      <c r="AN30" t="s">
        <v>527</v>
      </c>
      <c r="AO30" t="s">
        <v>528</v>
      </c>
      <c r="AP30" t="s">
        <v>323</v>
      </c>
      <c r="AQ30" t="s">
        <v>79</v>
      </c>
      <c r="AR30" t="n">
        <v>2018.0</v>
      </c>
      <c r="AS30" t="s">
        <v>425</v>
      </c>
      <c r="AT30" t="n">
        <v>49604.0</v>
      </c>
      <c r="AU30" t="s">
        <v>0</v>
      </c>
    </row>
    <row r="31">
      <c r="A31" t="n">
        <v>480.0</v>
      </c>
      <c r="B31" t="s">
        <v>529</v>
      </c>
      <c r="C31" t="s">
        <v>530</v>
      </c>
      <c r="D31" t="s">
        <v>531</v>
      </c>
      <c r="E31" s="1">
        <f>HYPERLINK("https://projectreporter.nih.gov/project_info_description.cfm?aid=9231411","Substance Disorders, Substance Use Treatment, and Sexual Orientation in Youth")</f>
      </c>
      <c r="F31" t="s">
        <v>532</v>
      </c>
      <c r="G31" t="s">
        <v>210</v>
      </c>
      <c r="H31" t="n">
        <v>9231411.0</v>
      </c>
      <c r="I31" t="s">
        <v>533</v>
      </c>
      <c r="J31" t="s">
        <v>54</v>
      </c>
      <c r="K31" s="1">
        <f>HYPERLINK("https://projectreporter.nih.gov/project_info_details.cfm?aid=9231411","5R01DA033974-05")</f>
      </c>
      <c r="L31" t="n">
        <v>5.0</v>
      </c>
      <c r="M31" t="s">
        <v>55</v>
      </c>
      <c r="N31" t="s">
        <v>213</v>
      </c>
      <c r="O31" t="s">
        <v>534</v>
      </c>
      <c r="P31" t="s">
        <v>58</v>
      </c>
      <c r="Q31" t="s">
        <v>0</v>
      </c>
      <c r="R31" t="s">
        <v>535</v>
      </c>
      <c r="S31" t="s">
        <v>536</v>
      </c>
      <c r="T31" t="s">
        <v>537</v>
      </c>
      <c r="U31" t="s">
        <v>277</v>
      </c>
      <c r="V31" t="s">
        <v>0</v>
      </c>
      <c r="W31" t="n">
        <v>8779028.0</v>
      </c>
      <c r="X31" t="s">
        <v>538</v>
      </c>
      <c r="Y31" t="s">
        <v>94</v>
      </c>
      <c r="Z31" t="s">
        <v>137</v>
      </c>
      <c r="AA31" t="s">
        <v>66</v>
      </c>
      <c r="AB31" t="s">
        <v>539</v>
      </c>
      <c r="AC31" t="s">
        <v>68</v>
      </c>
      <c r="AD31" t="n">
        <v>42.334978</v>
      </c>
      <c r="AE31" t="n">
        <v>-71.105987</v>
      </c>
      <c r="AF31" t="s">
        <v>540</v>
      </c>
      <c r="AG31" t="s">
        <v>541</v>
      </c>
      <c r="AH31" t="s">
        <v>319</v>
      </c>
      <c r="AI31" t="s">
        <v>246</v>
      </c>
      <c r="AJ31" t="s">
        <v>73</v>
      </c>
      <c r="AK31" t="s">
        <v>542</v>
      </c>
      <c r="AL31" t="s">
        <v>75</v>
      </c>
      <c r="AM31" t="s">
        <v>76</v>
      </c>
      <c r="AN31" t="s">
        <v>543</v>
      </c>
      <c r="AO31" t="s">
        <v>537</v>
      </c>
      <c r="AP31" t="s">
        <v>227</v>
      </c>
      <c r="AQ31" t="s">
        <v>79</v>
      </c>
      <c r="AR31" t="n">
        <v>2017.0</v>
      </c>
      <c r="AS31" t="s">
        <v>210</v>
      </c>
      <c r="AT31" t="n">
        <v>648965.0</v>
      </c>
      <c r="AU31" t="s">
        <v>0</v>
      </c>
    </row>
    <row r="32">
      <c r="A32" t="n">
        <v>479.0</v>
      </c>
      <c r="B32" t="s">
        <v>48</v>
      </c>
      <c r="C32" t="s">
        <v>544</v>
      </c>
      <c r="D32" t="s">
        <v>545</v>
      </c>
      <c r="E32" s="1">
        <f>HYPERLINK("https://projectreporter.nih.gov/project_info_description.cfm?aid=9078315","Health Outcomes and Healthcare Use Among Transgender Veterans")</f>
      </c>
      <c r="F32" t="s">
        <v>546</v>
      </c>
      <c r="G32" t="s">
        <v>231</v>
      </c>
      <c r="H32" t="n">
        <v>9078315.0</v>
      </c>
      <c r="I32" t="s">
        <v>547</v>
      </c>
      <c r="J32" t="s">
        <v>548</v>
      </c>
      <c r="K32" s="1">
        <f>HYPERLINK("https://projectreporter.nih.gov/project_info_details.cfm?aid=9078315","1IK2HX001733-01A2")</f>
      </c>
      <c r="L32" t="n">
        <v>1.0</v>
      </c>
      <c r="M32" t="s">
        <v>549</v>
      </c>
      <c r="N32" t="s">
        <v>231</v>
      </c>
      <c r="O32" t="s">
        <v>550</v>
      </c>
      <c r="P32" t="s">
        <v>113</v>
      </c>
      <c r="Q32" t="s">
        <v>551</v>
      </c>
      <c r="R32" t="s">
        <v>66</v>
      </c>
      <c r="S32" t="s">
        <v>552</v>
      </c>
      <c r="T32" t="s">
        <v>553</v>
      </c>
      <c r="U32" t="s">
        <v>554</v>
      </c>
      <c r="V32" t="s">
        <v>0</v>
      </c>
      <c r="W32" t="n">
        <v>1.0362705E7</v>
      </c>
      <c r="X32" t="s">
        <v>555</v>
      </c>
      <c r="Y32" t="s">
        <v>94</v>
      </c>
      <c r="Z32" t="s">
        <v>95</v>
      </c>
      <c r="AA32" t="s">
        <v>66</v>
      </c>
      <c r="AB32" t="s">
        <v>556</v>
      </c>
      <c r="AC32" t="s">
        <v>68</v>
      </c>
      <c r="AD32" t="n">
        <v>40.479754</v>
      </c>
      <c r="AE32" t="n">
        <v>-79.90176</v>
      </c>
      <c r="AF32" t="s">
        <v>557</v>
      </c>
      <c r="AG32" t="s">
        <v>558</v>
      </c>
      <c r="AH32" t="s">
        <v>223</v>
      </c>
      <c r="AI32" t="s">
        <v>224</v>
      </c>
      <c r="AJ32" t="s">
        <v>73</v>
      </c>
      <c r="AK32" t="s">
        <v>559</v>
      </c>
      <c r="AL32" t="s">
        <v>75</v>
      </c>
      <c r="AM32" t="s">
        <v>76</v>
      </c>
      <c r="AN32" t="s">
        <v>552</v>
      </c>
      <c r="AO32" t="s">
        <v>560</v>
      </c>
      <c r="AP32" t="s">
        <v>249</v>
      </c>
      <c r="AQ32" t="s">
        <v>561</v>
      </c>
      <c r="AR32" t="n">
        <v>2018.0</v>
      </c>
      <c r="AS32" t="s">
        <v>0</v>
      </c>
      <c r="AT32" t="s">
        <v>0</v>
      </c>
      <c r="AU32" t="s">
        <v>0</v>
      </c>
      <c r="AV32" t="s">
        <v>0</v>
      </c>
      <c r="AW32" t="s">
        <v>0</v>
      </c>
    </row>
    <row r="33">
      <c r="A33" t="n">
        <v>471.0</v>
      </c>
      <c r="B33" t="s">
        <v>562</v>
      </c>
      <c r="C33" t="s">
        <v>563</v>
      </c>
      <c r="D33" t="s">
        <v>564</v>
      </c>
      <c r="E33" s="1">
        <f>HYPERLINK("https://projectreporter.nih.gov/project_info_description.cfm?aid=9330990","The Health Status of Gender Minorities")</f>
      </c>
      <c r="F33" t="s">
        <v>565</v>
      </c>
      <c r="G33" t="s">
        <v>566</v>
      </c>
      <c r="H33" t="n">
        <v>9330990.0</v>
      </c>
      <c r="I33" t="s">
        <v>567</v>
      </c>
      <c r="J33" t="s">
        <v>568</v>
      </c>
      <c r="K33" s="1">
        <f>HYPERLINK("https://projectreporter.nih.gov/project_info_details.cfm?aid=9330990","1F31NR017115-01")</f>
      </c>
      <c r="L33" t="n">
        <v>1.0</v>
      </c>
      <c r="M33" t="s">
        <v>366</v>
      </c>
      <c r="N33" t="s">
        <v>569</v>
      </c>
      <c r="O33" t="s">
        <v>570</v>
      </c>
      <c r="P33" t="s">
        <v>113</v>
      </c>
      <c r="Q33" t="s">
        <v>0</v>
      </c>
      <c r="R33" t="s">
        <v>571</v>
      </c>
      <c r="S33" t="s">
        <v>572</v>
      </c>
      <c r="T33" t="s">
        <v>573</v>
      </c>
      <c r="U33" t="s">
        <v>574</v>
      </c>
      <c r="V33" t="s">
        <v>0</v>
      </c>
      <c r="W33" t="n">
        <v>1.4505008E7</v>
      </c>
      <c r="X33" t="s">
        <v>575</v>
      </c>
      <c r="Y33" t="s">
        <v>94</v>
      </c>
      <c r="Z33" t="s">
        <v>113</v>
      </c>
      <c r="AA33" t="s">
        <v>436</v>
      </c>
      <c r="AB33" t="s">
        <v>576</v>
      </c>
      <c r="AC33" t="s">
        <v>68</v>
      </c>
      <c r="AD33" t="n">
        <v>36.006824</v>
      </c>
      <c r="AE33" t="n">
        <v>-78.924579</v>
      </c>
      <c r="AF33" t="s">
        <v>577</v>
      </c>
      <c r="AG33" t="s">
        <v>578</v>
      </c>
      <c r="AH33" t="s">
        <v>579</v>
      </c>
      <c r="AI33" t="s">
        <v>580</v>
      </c>
      <c r="AJ33" t="s">
        <v>486</v>
      </c>
      <c r="AK33" t="s">
        <v>581</v>
      </c>
      <c r="AL33" t="s">
        <v>75</v>
      </c>
      <c r="AM33" t="s">
        <v>76</v>
      </c>
      <c r="AN33" t="s">
        <v>572</v>
      </c>
      <c r="AO33" t="s">
        <v>573</v>
      </c>
      <c r="AP33" t="s">
        <v>582</v>
      </c>
      <c r="AQ33" t="s">
        <v>123</v>
      </c>
      <c r="AR33" t="n">
        <v>2017.0</v>
      </c>
      <c r="AS33" t="s">
        <v>566</v>
      </c>
      <c r="AT33" t="n">
        <v>43117.0</v>
      </c>
      <c r="AU33" t="s">
        <v>0</v>
      </c>
    </row>
    <row r="34">
      <c r="A34" t="n">
        <v>471.0</v>
      </c>
      <c r="B34" t="s">
        <v>583</v>
      </c>
      <c r="C34" t="s">
        <v>584</v>
      </c>
      <c r="D34" t="s">
        <v>585</v>
      </c>
      <c r="E34" s="1">
        <f>HYPERLINK("https://projectreporter.nih.gov/project_info_description.cfm?aid=8501687","Developing a Peer Advocate Intervention for Rural LGBT Populations")</f>
      </c>
      <c r="F34" t="s">
        <v>586</v>
      </c>
      <c r="G34" t="s">
        <v>83</v>
      </c>
      <c r="H34" t="n">
        <v>8501687.0</v>
      </c>
      <c r="I34" t="s">
        <v>587</v>
      </c>
      <c r="J34" t="s">
        <v>588</v>
      </c>
      <c r="K34" s="1">
        <f>HYPERLINK("https://projectreporter.nih.gov/project_info_details.cfm?aid=8501687","5R34MH095238-03")</f>
      </c>
      <c r="L34" t="n">
        <v>5.0</v>
      </c>
      <c r="M34" t="s">
        <v>589</v>
      </c>
      <c r="N34" t="s">
        <v>86</v>
      </c>
      <c r="O34" t="s">
        <v>590</v>
      </c>
      <c r="P34" t="s">
        <v>182</v>
      </c>
      <c r="Q34" t="s">
        <v>0</v>
      </c>
      <c r="R34" t="s">
        <v>257</v>
      </c>
      <c r="S34" t="s">
        <v>591</v>
      </c>
      <c r="T34" t="s">
        <v>592</v>
      </c>
      <c r="U34" t="s">
        <v>593</v>
      </c>
      <c r="V34" t="s">
        <v>0</v>
      </c>
      <c r="W34" t="n">
        <v>1989094.0</v>
      </c>
      <c r="X34" t="s">
        <v>594</v>
      </c>
      <c r="Y34" t="s">
        <v>94</v>
      </c>
      <c r="Z34" t="s">
        <v>274</v>
      </c>
      <c r="AA34" t="s">
        <v>66</v>
      </c>
      <c r="AB34" t="s">
        <v>595</v>
      </c>
      <c r="AC34" t="s">
        <v>68</v>
      </c>
      <c r="AD34" t="n">
        <v>39.050676</v>
      </c>
      <c r="AE34" t="n">
        <v>-76.93727</v>
      </c>
      <c r="AF34" t="s">
        <v>596</v>
      </c>
      <c r="AG34" t="s">
        <v>597</v>
      </c>
      <c r="AH34" t="s">
        <v>598</v>
      </c>
      <c r="AI34" t="s">
        <v>309</v>
      </c>
      <c r="AJ34" t="s">
        <v>192</v>
      </c>
      <c r="AK34" t="s">
        <v>599</v>
      </c>
      <c r="AL34" t="s">
        <v>75</v>
      </c>
      <c r="AM34" t="s">
        <v>76</v>
      </c>
      <c r="AN34" t="s">
        <v>600</v>
      </c>
      <c r="AO34" t="s">
        <v>592</v>
      </c>
      <c r="AP34" t="s">
        <v>105</v>
      </c>
      <c r="AQ34" t="s">
        <v>79</v>
      </c>
      <c r="AR34" t="n">
        <v>2013.0</v>
      </c>
      <c r="AS34" t="s">
        <v>83</v>
      </c>
      <c r="AT34" t="n">
        <v>199080.0</v>
      </c>
      <c r="AU34" t="s">
        <v>0</v>
      </c>
    </row>
    <row r="35">
      <c r="A35" t="n">
        <v>466.0</v>
      </c>
      <c r="B35" t="s">
        <v>48</v>
      </c>
      <c r="C35" t="s">
        <v>601</v>
      </c>
      <c r="D35" t="s">
        <v>602</v>
      </c>
      <c r="E35" s="1">
        <f>HYPERLINK("https://projectreporter.nih.gov/project_info_description.cfm?aid=9824839","The Role of Transgender Embodiment on Breast and Uterine Cervix Cancer Screening")</f>
      </c>
      <c r="F35" t="s">
        <v>603</v>
      </c>
      <c r="G35" t="s">
        <v>604</v>
      </c>
      <c r="H35" t="n">
        <v>9824839.0</v>
      </c>
      <c r="I35" t="s">
        <v>605</v>
      </c>
      <c r="J35" t="s">
        <v>606</v>
      </c>
      <c r="K35" s="1">
        <f>HYPERLINK("https://projectreporter.nih.gov/project_info_details.cfm?aid=9824839","1R21CA233449-01A1")</f>
      </c>
      <c r="L35" t="n">
        <v>1.0</v>
      </c>
      <c r="M35" t="s">
        <v>130</v>
      </c>
      <c r="N35" t="s">
        <v>72</v>
      </c>
      <c r="O35" t="s">
        <v>607</v>
      </c>
      <c r="P35" t="s">
        <v>113</v>
      </c>
      <c r="Q35" t="s">
        <v>236</v>
      </c>
      <c r="R35" t="s">
        <v>608</v>
      </c>
      <c r="S35" t="s">
        <v>77</v>
      </c>
      <c r="T35" t="s">
        <v>276</v>
      </c>
      <c r="U35" t="s">
        <v>277</v>
      </c>
      <c r="V35" t="s">
        <v>0</v>
      </c>
      <c r="W35" t="n">
        <v>1.4387664E7</v>
      </c>
      <c r="X35" t="s">
        <v>609</v>
      </c>
      <c r="Y35" t="s">
        <v>610</v>
      </c>
      <c r="Z35" t="s">
        <v>611</v>
      </c>
      <c r="AA35" t="s">
        <v>436</v>
      </c>
      <c r="AB35" t="s">
        <v>612</v>
      </c>
      <c r="AC35" t="s">
        <v>68</v>
      </c>
      <c r="AD35" t="n">
        <v>18.202288</v>
      </c>
      <c r="AE35" t="n">
        <v>-66.577983</v>
      </c>
      <c r="AF35" t="s">
        <v>613</v>
      </c>
      <c r="AG35" t="s">
        <v>614</v>
      </c>
      <c r="AH35" t="s">
        <v>615</v>
      </c>
      <c r="AI35" t="s">
        <v>616</v>
      </c>
      <c r="AJ35" t="s">
        <v>267</v>
      </c>
      <c r="AK35" t="s">
        <v>617</v>
      </c>
      <c r="AL35" t="s">
        <v>75</v>
      </c>
      <c r="AM35" t="s">
        <v>76</v>
      </c>
      <c r="AN35" t="s">
        <v>77</v>
      </c>
      <c r="AO35" t="s">
        <v>61</v>
      </c>
      <c r="AP35" t="s">
        <v>618</v>
      </c>
      <c r="AQ35" t="s">
        <v>79</v>
      </c>
      <c r="AR35" t="n">
        <v>2019.0</v>
      </c>
      <c r="AS35" t="s">
        <v>604</v>
      </c>
      <c r="AT35" t="n">
        <v>226423.0</v>
      </c>
      <c r="AU35" t="s">
        <v>0</v>
      </c>
    </row>
    <row r="36">
      <c r="A36" t="n">
        <v>463.0</v>
      </c>
      <c r="B36" t="s">
        <v>619</v>
      </c>
      <c r="C36" t="s">
        <v>620</v>
      </c>
      <c r="D36" t="s">
        <v>621</v>
      </c>
      <c r="E36" s="1">
        <f>HYPERLINK("https://projectreporter.nih.gov/project_info_description.cfm?aid=8284478","Sex Differences in stress arousal in cocaine exposed youth at risk for addiction")</f>
      </c>
      <c r="F36" t="s">
        <v>304</v>
      </c>
      <c r="G36" t="s">
        <v>210</v>
      </c>
      <c r="H36" t="n">
        <v>8284478.0</v>
      </c>
      <c r="I36" t="s">
        <v>0</v>
      </c>
      <c r="J36" t="s">
        <v>0</v>
      </c>
      <c r="K36" s="1">
        <f>HYPERLINK("https://projectreporter.nih.gov/project_info_details.cfm?aid=8284478","5P50DA016556-10")</f>
      </c>
      <c r="L36" t="n">
        <v>5.0</v>
      </c>
      <c r="M36" t="s">
        <v>622</v>
      </c>
      <c r="N36" t="s">
        <v>213</v>
      </c>
      <c r="O36" t="s">
        <v>623</v>
      </c>
      <c r="P36" t="s">
        <v>624</v>
      </c>
      <c r="Q36" t="s">
        <v>0</v>
      </c>
      <c r="R36" t="s">
        <v>66</v>
      </c>
      <c r="S36" t="s">
        <v>0</v>
      </c>
      <c r="T36" t="s">
        <v>625</v>
      </c>
      <c r="U36" t="s">
        <v>626</v>
      </c>
      <c r="V36" t="n">
        <v>6.0</v>
      </c>
      <c r="W36" t="n">
        <v>1970736.0</v>
      </c>
      <c r="X36" t="s">
        <v>627</v>
      </c>
      <c r="Y36" t="s">
        <v>94</v>
      </c>
      <c r="Z36" t="s">
        <v>182</v>
      </c>
      <c r="AA36" t="s">
        <v>66</v>
      </c>
      <c r="AB36" t="s">
        <v>371</v>
      </c>
      <c r="AC36" t="s">
        <v>68</v>
      </c>
      <c r="AD36" t="n">
        <v>41.302711</v>
      </c>
      <c r="AE36" t="n">
        <v>-72.931986</v>
      </c>
      <c r="AF36" t="s">
        <v>372</v>
      </c>
      <c r="AG36" t="s">
        <v>373</v>
      </c>
      <c r="AH36" t="s">
        <v>374</v>
      </c>
      <c r="AI36" t="s">
        <v>375</v>
      </c>
      <c r="AJ36" t="s">
        <v>628</v>
      </c>
      <c r="AK36" t="s">
        <v>377</v>
      </c>
      <c r="AL36" t="s">
        <v>75</v>
      </c>
      <c r="AM36" t="s">
        <v>76</v>
      </c>
      <c r="AN36" t="s">
        <v>629</v>
      </c>
      <c r="AO36" t="s">
        <v>625</v>
      </c>
      <c r="AP36" t="s">
        <v>0</v>
      </c>
      <c r="AQ36" t="s">
        <v>630</v>
      </c>
      <c r="AR36" t="n">
        <v>2011.0</v>
      </c>
      <c r="AS36" t="s">
        <v>0</v>
      </c>
      <c r="AT36" t="s">
        <v>0</v>
      </c>
      <c r="AU36" t="n">
        <v>189260.0</v>
      </c>
    </row>
    <row r="37">
      <c r="A37" t="n">
        <v>462.0</v>
      </c>
      <c r="B37" t="s">
        <v>631</v>
      </c>
      <c r="C37" t="s">
        <v>632</v>
      </c>
      <c r="D37" t="s">
        <v>633</v>
      </c>
      <c r="E37" s="1">
        <f>HYPERLINK("https://projectreporter.nih.gov/project_info_description.cfm?aid=8042710","Identifying Positive Aspects of Youth Internet Use: The Next Step in Prevention")</f>
      </c>
      <c r="F37" t="s">
        <v>634</v>
      </c>
      <c r="G37" t="s">
        <v>52</v>
      </c>
      <c r="H37" t="n">
        <v>8042710.0</v>
      </c>
      <c r="I37" t="s">
        <v>635</v>
      </c>
      <c r="J37" t="s">
        <v>636</v>
      </c>
      <c r="K37" s="1">
        <f>HYPERLINK("https://projectreporter.nih.gov/project_info_details.cfm?aid=8042710","5R01HD057191-03")</f>
      </c>
      <c r="L37" t="n">
        <v>5.0</v>
      </c>
      <c r="M37" t="s">
        <v>55</v>
      </c>
      <c r="N37" t="s">
        <v>56</v>
      </c>
      <c r="O37" t="s">
        <v>637</v>
      </c>
      <c r="P37" t="s">
        <v>182</v>
      </c>
      <c r="Q37" t="s">
        <v>0</v>
      </c>
      <c r="R37" t="s">
        <v>638</v>
      </c>
      <c r="S37" t="s">
        <v>639</v>
      </c>
      <c r="T37" t="s">
        <v>640</v>
      </c>
      <c r="U37" t="s">
        <v>641</v>
      </c>
      <c r="V37" t="s">
        <v>0</v>
      </c>
      <c r="W37" t="n">
        <v>8669800.0</v>
      </c>
      <c r="X37" t="s">
        <v>642</v>
      </c>
      <c r="Y37" t="s">
        <v>94</v>
      </c>
      <c r="Z37" t="s">
        <v>643</v>
      </c>
      <c r="AA37" t="s">
        <v>66</v>
      </c>
      <c r="AB37" t="s">
        <v>644</v>
      </c>
      <c r="AC37" t="s">
        <v>68</v>
      </c>
      <c r="AD37" t="n">
        <v>33.430039</v>
      </c>
      <c r="AE37" t="n">
        <v>-117.616549</v>
      </c>
      <c r="AF37" t="s">
        <v>645</v>
      </c>
      <c r="AG37" t="s">
        <v>646</v>
      </c>
      <c r="AH37" t="s">
        <v>647</v>
      </c>
      <c r="AI37" t="s">
        <v>72</v>
      </c>
      <c r="AJ37" t="s">
        <v>320</v>
      </c>
      <c r="AK37" t="s">
        <v>648</v>
      </c>
      <c r="AL37" t="s">
        <v>75</v>
      </c>
      <c r="AM37" t="s">
        <v>76</v>
      </c>
      <c r="AN37" t="s">
        <v>649</v>
      </c>
      <c r="AO37" t="s">
        <v>640</v>
      </c>
      <c r="AP37" t="s">
        <v>78</v>
      </c>
      <c r="AQ37" t="s">
        <v>79</v>
      </c>
      <c r="AR37" t="n">
        <v>2011.0</v>
      </c>
      <c r="AS37" t="s">
        <v>52</v>
      </c>
      <c r="AT37" t="n">
        <v>150113.0</v>
      </c>
      <c r="AU37" t="s">
        <v>0</v>
      </c>
    </row>
    <row r="38">
      <c r="A38" t="n">
        <v>462.0</v>
      </c>
      <c r="B38" t="s">
        <v>48</v>
      </c>
      <c r="C38" t="s">
        <v>650</v>
      </c>
      <c r="D38" t="s">
        <v>651</v>
      </c>
      <c r="E38" s="1">
        <f>HYPERLINK("https://projectreporter.nih.gov/project_info_description.cfm?aid=9706896","Engaging Seronegative Youth to Optimize HIV Prevention Continuum")</f>
      </c>
      <c r="F38" t="s">
        <v>304</v>
      </c>
      <c r="G38" t="s">
        <v>52</v>
      </c>
      <c r="H38" t="n">
        <v>9706896.0</v>
      </c>
      <c r="I38" t="s">
        <v>652</v>
      </c>
      <c r="J38" t="s">
        <v>653</v>
      </c>
      <c r="K38" s="1">
        <f>HYPERLINK("https://projectreporter.nih.gov/project_info_details.cfm?aid=9706896","5U19HD089886-04")</f>
      </c>
      <c r="L38" t="n">
        <v>5.0</v>
      </c>
      <c r="M38" t="s">
        <v>654</v>
      </c>
      <c r="N38" t="s">
        <v>56</v>
      </c>
      <c r="O38" t="s">
        <v>655</v>
      </c>
      <c r="P38" t="s">
        <v>274</v>
      </c>
      <c r="Q38" t="s">
        <v>0</v>
      </c>
      <c r="R38" t="s">
        <v>66</v>
      </c>
      <c r="S38" t="s">
        <v>0</v>
      </c>
      <c r="T38" t="s">
        <v>0</v>
      </c>
      <c r="U38" t="s">
        <v>656</v>
      </c>
      <c r="V38" t="n">
        <v>8878.0</v>
      </c>
      <c r="W38" t="n">
        <v>9511282.0</v>
      </c>
      <c r="X38" t="s">
        <v>657</v>
      </c>
      <c r="Y38" t="s">
        <v>94</v>
      </c>
      <c r="Z38" t="s">
        <v>404</v>
      </c>
      <c r="AA38" t="s">
        <v>66</v>
      </c>
      <c r="AB38" t="s">
        <v>405</v>
      </c>
      <c r="AC38" t="s">
        <v>68</v>
      </c>
      <c r="AD38" t="n">
        <v>34.071312</v>
      </c>
      <c r="AE38" t="n">
        <v>-118.443545</v>
      </c>
      <c r="AF38" t="s">
        <v>406</v>
      </c>
      <c r="AG38" t="s">
        <v>407</v>
      </c>
      <c r="AH38" t="s">
        <v>71</v>
      </c>
      <c r="AI38" t="s">
        <v>72</v>
      </c>
      <c r="AJ38" t="s">
        <v>628</v>
      </c>
      <c r="AK38" t="s">
        <v>408</v>
      </c>
      <c r="AL38" t="s">
        <v>75</v>
      </c>
      <c r="AM38" t="s">
        <v>76</v>
      </c>
      <c r="AN38" t="s">
        <v>103</v>
      </c>
      <c r="AO38" t="s">
        <v>104</v>
      </c>
      <c r="AP38" t="s">
        <v>0</v>
      </c>
      <c r="AQ38" t="s">
        <v>79</v>
      </c>
      <c r="AR38" t="n">
        <v>2019.0</v>
      </c>
      <c r="AS38" t="s">
        <v>0</v>
      </c>
      <c r="AT38" t="s">
        <v>0</v>
      </c>
      <c r="AU38" t="n">
        <v>603925.0</v>
      </c>
    </row>
    <row r="39">
      <c r="A39" t="n">
        <v>460.0</v>
      </c>
      <c r="B39" t="s">
        <v>48</v>
      </c>
      <c r="C39" t="s">
        <v>658</v>
      </c>
      <c r="D39" t="s">
        <v>659</v>
      </c>
      <c r="E39" s="1">
        <f>HYPERLINK("https://projectreporter.nih.gov/project_info_description.cfm?aid=9745417","Screening and Brief Intervention for Suicidality and Nonsuicidal Self-Injury Among Youth in the Juvenile Justice System")</f>
      </c>
      <c r="F39" t="s">
        <v>660</v>
      </c>
      <c r="G39" t="s">
        <v>83</v>
      </c>
      <c r="H39" t="n">
        <v>9745417.0</v>
      </c>
      <c r="I39" t="s">
        <v>528</v>
      </c>
      <c r="J39" t="s">
        <v>661</v>
      </c>
      <c r="K39" s="1">
        <f>HYPERLINK("https://projectreporter.nih.gov/project_info_details.cfm?aid=9745417","5R34MH114307-02")</f>
      </c>
      <c r="L39" t="n">
        <v>5.0</v>
      </c>
      <c r="M39" t="s">
        <v>589</v>
      </c>
      <c r="N39" t="s">
        <v>86</v>
      </c>
      <c r="O39" t="s">
        <v>662</v>
      </c>
      <c r="P39" t="s">
        <v>88</v>
      </c>
      <c r="Q39" t="s">
        <v>0</v>
      </c>
      <c r="R39" t="s">
        <v>663</v>
      </c>
      <c r="S39" t="s">
        <v>664</v>
      </c>
      <c r="T39" t="s">
        <v>665</v>
      </c>
      <c r="U39" t="s">
        <v>260</v>
      </c>
      <c r="V39" t="s">
        <v>0</v>
      </c>
      <c r="W39" t="n">
        <v>1893347.0</v>
      </c>
      <c r="X39" t="s">
        <v>666</v>
      </c>
      <c r="Y39" t="s">
        <v>667</v>
      </c>
      <c r="Z39" t="s">
        <v>113</v>
      </c>
      <c r="AA39" t="s">
        <v>96</v>
      </c>
      <c r="AB39" t="s">
        <v>668</v>
      </c>
      <c r="AC39" t="s">
        <v>68</v>
      </c>
      <c r="AD39" t="n">
        <v>41.828145</v>
      </c>
      <c r="AE39" t="n">
        <v>-71.401161</v>
      </c>
      <c r="AF39" t="s">
        <v>669</v>
      </c>
      <c r="AG39" t="s">
        <v>670</v>
      </c>
      <c r="AH39" t="s">
        <v>671</v>
      </c>
      <c r="AI39" t="s">
        <v>672</v>
      </c>
      <c r="AJ39" t="s">
        <v>101</v>
      </c>
      <c r="AK39" t="s">
        <v>673</v>
      </c>
      <c r="AL39" t="s">
        <v>75</v>
      </c>
      <c r="AM39" t="s">
        <v>76</v>
      </c>
      <c r="AN39" t="s">
        <v>103</v>
      </c>
      <c r="AO39" t="s">
        <v>104</v>
      </c>
      <c r="AP39" t="s">
        <v>105</v>
      </c>
      <c r="AQ39" t="s">
        <v>79</v>
      </c>
      <c r="AR39" t="n">
        <v>2019.0</v>
      </c>
      <c r="AS39" t="s">
        <v>83</v>
      </c>
      <c r="AT39" t="n">
        <v>243299.0</v>
      </c>
      <c r="AU39" t="s">
        <v>0</v>
      </c>
    </row>
    <row r="40">
      <c r="A40" t="n">
        <v>458.0</v>
      </c>
      <c r="B40" t="s">
        <v>674</v>
      </c>
      <c r="C40" t="s">
        <v>675</v>
      </c>
      <c r="D40" t="s">
        <v>676</v>
      </c>
      <c r="E40" s="1">
        <f>HYPERLINK("https://projectreporter.nih.gov/project_info_description.cfm?aid=9512855","Exercise Intervention for Lesbian, Gay, Bisexual, and Transgender Cancer Survivors")</f>
      </c>
      <c r="F40" t="s">
        <v>677</v>
      </c>
      <c r="G40" t="s">
        <v>604</v>
      </c>
      <c r="H40" t="n">
        <v>9512855.0</v>
      </c>
      <c r="I40" t="s">
        <v>527</v>
      </c>
      <c r="J40" t="s">
        <v>678</v>
      </c>
      <c r="K40" s="1">
        <f>HYPERLINK("https://projectreporter.nih.gov/project_info_details.cfm?aid=9512855","5K07CA190529-04")</f>
      </c>
      <c r="L40" t="n">
        <v>5.0</v>
      </c>
      <c r="M40" t="s">
        <v>679</v>
      </c>
      <c r="N40" t="s">
        <v>72</v>
      </c>
      <c r="O40" t="s">
        <v>680</v>
      </c>
      <c r="P40" t="s">
        <v>274</v>
      </c>
      <c r="Q40" t="s">
        <v>0</v>
      </c>
      <c r="R40" t="s">
        <v>681</v>
      </c>
      <c r="S40" t="s">
        <v>682</v>
      </c>
      <c r="T40" t="s">
        <v>61</v>
      </c>
      <c r="U40" t="s">
        <v>683</v>
      </c>
      <c r="V40" t="s">
        <v>0</v>
      </c>
      <c r="W40" t="n">
        <v>1.05521E7</v>
      </c>
      <c r="X40" t="s">
        <v>684</v>
      </c>
      <c r="Y40" t="s">
        <v>94</v>
      </c>
      <c r="Z40" t="s">
        <v>685</v>
      </c>
      <c r="AA40" t="s">
        <v>686</v>
      </c>
      <c r="AB40" t="s">
        <v>687</v>
      </c>
      <c r="AC40" t="s">
        <v>68</v>
      </c>
      <c r="AD40" t="n">
        <v>43.128664</v>
      </c>
      <c r="AE40" t="n">
        <v>-77.629144</v>
      </c>
      <c r="AF40" t="s">
        <v>688</v>
      </c>
      <c r="AG40" t="s">
        <v>689</v>
      </c>
      <c r="AH40" t="s">
        <v>690</v>
      </c>
      <c r="AI40" t="s">
        <v>172</v>
      </c>
      <c r="AJ40" t="s">
        <v>691</v>
      </c>
      <c r="AK40" t="s">
        <v>692</v>
      </c>
      <c r="AL40" t="s">
        <v>75</v>
      </c>
      <c r="AM40" t="s">
        <v>76</v>
      </c>
      <c r="AN40" t="s">
        <v>300</v>
      </c>
      <c r="AO40" t="s">
        <v>259</v>
      </c>
      <c r="AP40" t="s">
        <v>693</v>
      </c>
      <c r="AQ40" t="s">
        <v>324</v>
      </c>
      <c r="AR40" t="n">
        <v>2018.0</v>
      </c>
      <c r="AS40" t="s">
        <v>604</v>
      </c>
      <c r="AT40" t="n">
        <v>166099.0</v>
      </c>
      <c r="AU40" t="s">
        <v>0</v>
      </c>
    </row>
    <row r="41">
      <c r="A41" t="n">
        <v>456.0</v>
      </c>
      <c r="B41" t="s">
        <v>694</v>
      </c>
      <c r="C41" t="s">
        <v>695</v>
      </c>
      <c r="D41" t="s">
        <v>696</v>
      </c>
      <c r="E41" s="1">
        <f>HYPERLINK("https://projectreporter.nih.gov/project_info_description.cfm?aid=9128582","Culturally relevant intervention development for incarcerated transgender women")</f>
      </c>
      <c r="F41" t="s">
        <v>697</v>
      </c>
      <c r="G41" t="s">
        <v>210</v>
      </c>
      <c r="H41" t="n">
        <v>9128582.0</v>
      </c>
      <c r="I41" t="s">
        <v>698</v>
      </c>
      <c r="J41" t="s">
        <v>699</v>
      </c>
      <c r="K41" s="1">
        <f>HYPERLINK("https://projectreporter.nih.gov/project_info_details.cfm?aid=9128582","5R34DA038541-03")</f>
      </c>
      <c r="L41" t="n">
        <v>5.0</v>
      </c>
      <c r="M41" t="s">
        <v>589</v>
      </c>
      <c r="N41" t="s">
        <v>213</v>
      </c>
      <c r="O41" t="s">
        <v>700</v>
      </c>
      <c r="P41" t="s">
        <v>182</v>
      </c>
      <c r="Q41" t="s">
        <v>0</v>
      </c>
      <c r="R41" t="s">
        <v>701</v>
      </c>
      <c r="S41" t="s">
        <v>702</v>
      </c>
      <c r="T41" t="s">
        <v>217</v>
      </c>
      <c r="U41" t="s">
        <v>186</v>
      </c>
      <c r="V41" t="s">
        <v>0</v>
      </c>
      <c r="W41" t="n">
        <v>9421939.0</v>
      </c>
      <c r="X41" t="s">
        <v>703</v>
      </c>
      <c r="Y41" t="s">
        <v>94</v>
      </c>
      <c r="Z41" t="s">
        <v>116</v>
      </c>
      <c r="AA41" t="s">
        <v>704</v>
      </c>
      <c r="AB41" t="s">
        <v>118</v>
      </c>
      <c r="AC41" t="s">
        <v>68</v>
      </c>
      <c r="AD41" t="n">
        <v>37.786097</v>
      </c>
      <c r="AE41" t="n">
        <v>-122.448391</v>
      </c>
      <c r="AF41" t="s">
        <v>119</v>
      </c>
      <c r="AG41" t="s">
        <v>120</v>
      </c>
      <c r="AH41" t="s">
        <v>121</v>
      </c>
      <c r="AI41" t="s">
        <v>72</v>
      </c>
      <c r="AJ41" t="s">
        <v>101</v>
      </c>
      <c r="AK41" t="s">
        <v>122</v>
      </c>
      <c r="AL41" t="s">
        <v>75</v>
      </c>
      <c r="AM41" t="s">
        <v>76</v>
      </c>
      <c r="AN41" t="s">
        <v>226</v>
      </c>
      <c r="AO41" t="s">
        <v>217</v>
      </c>
      <c r="AP41" t="s">
        <v>227</v>
      </c>
      <c r="AQ41" t="s">
        <v>79</v>
      </c>
      <c r="AR41" t="n">
        <v>2016.0</v>
      </c>
      <c r="AS41" t="s">
        <v>210</v>
      </c>
      <c r="AT41" t="n">
        <v>221420.0</v>
      </c>
      <c r="AU41" t="s">
        <v>0</v>
      </c>
    </row>
    <row r="42">
      <c r="A42" t="n">
        <v>455.0</v>
      </c>
      <c r="B42" t="s">
        <v>48</v>
      </c>
      <c r="C42" t="s">
        <v>705</v>
      </c>
      <c r="D42" t="s">
        <v>706</v>
      </c>
      <c r="E42" s="1">
        <f>HYPERLINK("https://projectreporter.nih.gov/project_info_description.cfm?aid=9729068","Continuity of Mental Health Care after Youth Hospitalization for Suicide Attempt")</f>
      </c>
      <c r="F42" t="s">
        <v>707</v>
      </c>
      <c r="G42" t="s">
        <v>83</v>
      </c>
      <c r="H42" t="n">
        <v>9729068.0</v>
      </c>
      <c r="I42" t="s">
        <v>708</v>
      </c>
      <c r="J42" t="s">
        <v>709</v>
      </c>
      <c r="K42" s="1">
        <f>HYPERLINK("https://projectreporter.nih.gov/project_info_details.cfm?aid=9729068","5K23MH115162-02")</f>
      </c>
      <c r="L42" t="n">
        <v>5.0</v>
      </c>
      <c r="M42" t="s">
        <v>710</v>
      </c>
      <c r="N42" t="s">
        <v>86</v>
      </c>
      <c r="O42" t="s">
        <v>711</v>
      </c>
      <c r="P42" t="s">
        <v>88</v>
      </c>
      <c r="Q42" t="s">
        <v>0</v>
      </c>
      <c r="R42" t="s">
        <v>712</v>
      </c>
      <c r="S42" t="s">
        <v>300</v>
      </c>
      <c r="T42" t="s">
        <v>713</v>
      </c>
      <c r="U42" t="s">
        <v>714</v>
      </c>
      <c r="V42" t="s">
        <v>0</v>
      </c>
      <c r="W42" t="n">
        <v>1.243934E7</v>
      </c>
      <c r="X42" t="s">
        <v>715</v>
      </c>
      <c r="Y42" t="s">
        <v>94</v>
      </c>
      <c r="Z42" t="s">
        <v>182</v>
      </c>
      <c r="AA42" t="s">
        <v>66</v>
      </c>
      <c r="AB42" t="s">
        <v>716</v>
      </c>
      <c r="AC42" t="s">
        <v>68</v>
      </c>
      <c r="AD42" t="n">
        <v>39.946633</v>
      </c>
      <c r="AE42" t="n">
        <v>-75.196603</v>
      </c>
      <c r="AF42" t="s">
        <v>717</v>
      </c>
      <c r="AG42" t="s">
        <v>718</v>
      </c>
      <c r="AH42" t="s">
        <v>719</v>
      </c>
      <c r="AI42" t="s">
        <v>224</v>
      </c>
      <c r="AJ42" t="s">
        <v>73</v>
      </c>
      <c r="AK42" t="s">
        <v>720</v>
      </c>
      <c r="AL42" t="s">
        <v>75</v>
      </c>
      <c r="AM42" t="s">
        <v>76</v>
      </c>
      <c r="AN42" t="s">
        <v>77</v>
      </c>
      <c r="AO42" t="s">
        <v>61</v>
      </c>
      <c r="AP42" t="s">
        <v>105</v>
      </c>
      <c r="AQ42" t="s">
        <v>324</v>
      </c>
      <c r="AR42" t="n">
        <v>2019.0</v>
      </c>
      <c r="AS42" t="s">
        <v>83</v>
      </c>
      <c r="AT42" t="n">
        <v>185710.0</v>
      </c>
      <c r="AU42" t="s">
        <v>0</v>
      </c>
    </row>
    <row r="43">
      <c r="A43" t="n">
        <v>453.0</v>
      </c>
      <c r="B43" t="s">
        <v>721</v>
      </c>
      <c r="C43" t="s">
        <v>722</v>
      </c>
      <c r="D43" t="s">
        <v>723</v>
      </c>
      <c r="E43" s="1">
        <f>HYPERLINK("https://projectreporter.nih.gov/project_info_description.cfm?aid=9034668","Tech-Based Depression and Anxiety Treatment for Youth in High Risk Environments")</f>
      </c>
      <c r="F43" t="s">
        <v>724</v>
      </c>
      <c r="G43" t="s">
        <v>83</v>
      </c>
      <c r="H43" t="n">
        <v>9034668.0</v>
      </c>
      <c r="I43" t="s">
        <v>725</v>
      </c>
      <c r="J43" t="s">
        <v>726</v>
      </c>
      <c r="K43" s="1">
        <f>HYPERLINK("https://projectreporter.nih.gov/project_info_details.cfm?aid=9034668","4K08MH094441-05")</f>
      </c>
      <c r="L43" t="n">
        <v>4.0</v>
      </c>
      <c r="M43" t="s">
        <v>727</v>
      </c>
      <c r="N43" t="s">
        <v>86</v>
      </c>
      <c r="O43" t="s">
        <v>728</v>
      </c>
      <c r="P43" t="s">
        <v>58</v>
      </c>
      <c r="Q43" t="s">
        <v>0</v>
      </c>
      <c r="R43" t="s">
        <v>712</v>
      </c>
      <c r="S43" t="s">
        <v>729</v>
      </c>
      <c r="T43" t="s">
        <v>449</v>
      </c>
      <c r="U43" t="s">
        <v>730</v>
      </c>
      <c r="V43" t="s">
        <v>0</v>
      </c>
      <c r="W43" t="n">
        <v>1.0403903E7</v>
      </c>
      <c r="X43" t="s">
        <v>731</v>
      </c>
      <c r="Y43" t="s">
        <v>94</v>
      </c>
      <c r="Z43" t="s">
        <v>137</v>
      </c>
      <c r="AA43" t="s">
        <v>335</v>
      </c>
      <c r="AB43" t="s">
        <v>388</v>
      </c>
      <c r="AC43" t="s">
        <v>68</v>
      </c>
      <c r="AD43" t="n">
        <v>41.893859</v>
      </c>
      <c r="AE43" t="n">
        <v>-87.614257</v>
      </c>
      <c r="AF43" t="s">
        <v>389</v>
      </c>
      <c r="AG43" t="s">
        <v>390</v>
      </c>
      <c r="AH43" t="s">
        <v>141</v>
      </c>
      <c r="AI43" t="s">
        <v>142</v>
      </c>
      <c r="AJ43" t="s">
        <v>101</v>
      </c>
      <c r="AK43" t="s">
        <v>391</v>
      </c>
      <c r="AL43" t="s">
        <v>75</v>
      </c>
      <c r="AM43" t="s">
        <v>76</v>
      </c>
      <c r="AN43" t="s">
        <v>175</v>
      </c>
      <c r="AO43" t="s">
        <v>449</v>
      </c>
      <c r="AP43" t="s">
        <v>105</v>
      </c>
      <c r="AQ43" t="s">
        <v>324</v>
      </c>
      <c r="AR43" t="n">
        <v>2016.0</v>
      </c>
      <c r="AS43" t="s">
        <v>83</v>
      </c>
      <c r="AT43" t="n">
        <v>160977.0</v>
      </c>
      <c r="AU43" t="s">
        <v>0</v>
      </c>
    </row>
    <row r="44">
      <c r="A44" t="n">
        <v>451.0</v>
      </c>
      <c r="B44" t="s">
        <v>732</v>
      </c>
      <c r="C44" t="s">
        <v>733</v>
      </c>
      <c r="D44" t="s">
        <v>734</v>
      </c>
      <c r="E44" s="1">
        <f>HYPERLINK("https://projectreporter.nih.gov/project_info_description.cfm?aid=8166984","BRAIN PROCESSING OF EMOTIONAL INFORMATION IN TRANSGENDER INDIVIDUALS")</f>
      </c>
      <c r="F44" t="s">
        <v>304</v>
      </c>
      <c r="G44" t="s">
        <v>735</v>
      </c>
      <c r="H44" t="n">
        <v>8166984.0</v>
      </c>
      <c r="I44" t="s">
        <v>736</v>
      </c>
      <c r="J44" t="s">
        <v>0</v>
      </c>
      <c r="K44" s="1">
        <f>HYPERLINK("https://projectreporter.nih.gov/project_info_details.cfm?aid=8166984","5M01RR000109-46")</f>
      </c>
      <c r="L44" t="n">
        <v>5.0</v>
      </c>
      <c r="M44" t="s">
        <v>737</v>
      </c>
      <c r="N44" t="s">
        <v>738</v>
      </c>
      <c r="O44" t="s">
        <v>739</v>
      </c>
      <c r="P44" t="s">
        <v>740</v>
      </c>
      <c r="Q44" t="s">
        <v>0</v>
      </c>
      <c r="R44" t="s">
        <v>66</v>
      </c>
      <c r="S44" t="s">
        <v>741</v>
      </c>
      <c r="T44" t="s">
        <v>742</v>
      </c>
      <c r="U44" t="s">
        <v>743</v>
      </c>
      <c r="V44" t="n">
        <v>6845.0</v>
      </c>
      <c r="W44" t="n">
        <v>7689223.0</v>
      </c>
      <c r="X44" t="s">
        <v>744</v>
      </c>
      <c r="Y44" t="s">
        <v>94</v>
      </c>
      <c r="Z44" t="s">
        <v>745</v>
      </c>
      <c r="AA44" t="s">
        <v>436</v>
      </c>
      <c r="AB44" t="s">
        <v>746</v>
      </c>
      <c r="AC44" t="s">
        <v>68</v>
      </c>
      <c r="AD44" t="n">
        <v>44.478216</v>
      </c>
      <c r="AE44" t="n">
        <v>-73.200657</v>
      </c>
      <c r="AF44" t="s">
        <v>747</v>
      </c>
      <c r="AG44" t="s">
        <v>748</v>
      </c>
      <c r="AH44" t="s">
        <v>749</v>
      </c>
      <c r="AI44" t="s">
        <v>750</v>
      </c>
      <c r="AJ44" t="s">
        <v>101</v>
      </c>
      <c r="AK44" t="s">
        <v>751</v>
      </c>
      <c r="AL44" t="s">
        <v>75</v>
      </c>
      <c r="AM44" t="s">
        <v>76</v>
      </c>
      <c r="AN44" t="s">
        <v>741</v>
      </c>
      <c r="AO44" t="s">
        <v>742</v>
      </c>
      <c r="AP44" t="s">
        <v>752</v>
      </c>
      <c r="AQ44" t="s">
        <v>630</v>
      </c>
      <c r="AR44" t="n">
        <v>2010.0</v>
      </c>
      <c r="AS44" t="s">
        <v>0</v>
      </c>
      <c r="AT44" t="s">
        <v>0</v>
      </c>
      <c r="AU44" t="n">
        <v>3422.0</v>
      </c>
    </row>
    <row r="45">
      <c r="A45" t="n">
        <v>450.0</v>
      </c>
      <c r="B45" t="s">
        <v>753</v>
      </c>
      <c r="C45" t="s">
        <v>754</v>
      </c>
      <c r="D45" t="s">
        <v>755</v>
      </c>
      <c r="E45" s="1">
        <f>HYPERLINK("https://projectreporter.nih.gov/project_info_description.cfm?aid=9259816","2017 LGBTQ Health Conference: Bridging Research and Practice")</f>
      </c>
      <c r="F45" t="s">
        <v>756</v>
      </c>
      <c r="G45" t="s">
        <v>305</v>
      </c>
      <c r="H45" t="n">
        <v>9259816.0</v>
      </c>
      <c r="I45" t="s">
        <v>757</v>
      </c>
      <c r="J45" t="s">
        <v>758</v>
      </c>
      <c r="K45" s="1">
        <f>HYPERLINK("https://projectreporter.nih.gov/project_info_details.cfm?aid=9259816","1R13MD011360-01")</f>
      </c>
      <c r="L45" t="n">
        <v>1.0</v>
      </c>
      <c r="M45" t="s">
        <v>759</v>
      </c>
      <c r="N45" t="s">
        <v>309</v>
      </c>
      <c r="O45" t="s">
        <v>760</v>
      </c>
      <c r="P45" t="s">
        <v>113</v>
      </c>
      <c r="Q45" t="s">
        <v>0</v>
      </c>
      <c r="R45" t="s">
        <v>311</v>
      </c>
      <c r="S45" t="s">
        <v>757</v>
      </c>
      <c r="T45" t="s">
        <v>761</v>
      </c>
      <c r="U45" t="s">
        <v>762</v>
      </c>
      <c r="V45" t="s">
        <v>0</v>
      </c>
      <c r="W45" t="n">
        <v>8315296.0</v>
      </c>
      <c r="X45" t="s">
        <v>763</v>
      </c>
      <c r="Y45" t="s">
        <v>94</v>
      </c>
      <c r="Z45" t="s">
        <v>137</v>
      </c>
      <c r="AA45" t="s">
        <v>335</v>
      </c>
      <c r="AB45" t="s">
        <v>388</v>
      </c>
      <c r="AC45" t="s">
        <v>68</v>
      </c>
      <c r="AD45" t="n">
        <v>41.893859</v>
      </c>
      <c r="AE45" t="n">
        <v>-87.614257</v>
      </c>
      <c r="AF45" t="s">
        <v>389</v>
      </c>
      <c r="AG45" t="s">
        <v>390</v>
      </c>
      <c r="AH45" t="s">
        <v>141</v>
      </c>
      <c r="AI45" t="s">
        <v>142</v>
      </c>
      <c r="AJ45" t="s">
        <v>101</v>
      </c>
      <c r="AK45" t="s">
        <v>391</v>
      </c>
      <c r="AL45" t="s">
        <v>75</v>
      </c>
      <c r="AM45" t="s">
        <v>76</v>
      </c>
      <c r="AN45" t="s">
        <v>757</v>
      </c>
      <c r="AO45" t="s">
        <v>761</v>
      </c>
      <c r="AP45" t="s">
        <v>323</v>
      </c>
      <c r="AQ45" t="s">
        <v>324</v>
      </c>
      <c r="AR45" t="n">
        <v>2016.0</v>
      </c>
      <c r="AS45" t="s">
        <v>305</v>
      </c>
      <c r="AT45" t="n">
        <v>50000.0</v>
      </c>
      <c r="AU45" t="s">
        <v>0</v>
      </c>
    </row>
    <row r="46">
      <c r="A46" t="n">
        <v>449.0</v>
      </c>
      <c r="B46" t="s">
        <v>764</v>
      </c>
      <c r="C46" t="s">
        <v>765</v>
      </c>
      <c r="D46" t="s">
        <v>766</v>
      </c>
      <c r="E46" s="1">
        <f>HYPERLINK("https://projectreporter.nih.gov/project_info_description.cfm?aid=9321489","Health needs of gender variant youth: A mixed-methods study")</f>
      </c>
      <c r="F46" t="s">
        <v>767</v>
      </c>
      <c r="G46" t="s">
        <v>52</v>
      </c>
      <c r="H46" t="n">
        <v>9321489.0</v>
      </c>
      <c r="I46" t="s">
        <v>768</v>
      </c>
      <c r="J46" t="s">
        <v>255</v>
      </c>
      <c r="K46" s="1">
        <f>HYPERLINK("https://projectreporter.nih.gov/project_info_details.cfm?aid=9321489","5R21HD088757-02")</f>
      </c>
      <c r="L46" t="n">
        <v>5.0</v>
      </c>
      <c r="M46" t="s">
        <v>130</v>
      </c>
      <c r="N46" t="s">
        <v>56</v>
      </c>
      <c r="O46" t="s">
        <v>769</v>
      </c>
      <c r="P46" t="s">
        <v>88</v>
      </c>
      <c r="Q46" t="s">
        <v>0</v>
      </c>
      <c r="R46" t="s">
        <v>292</v>
      </c>
      <c r="S46" t="s">
        <v>770</v>
      </c>
      <c r="T46" t="s">
        <v>771</v>
      </c>
      <c r="U46" t="s">
        <v>135</v>
      </c>
      <c r="V46" t="s">
        <v>0</v>
      </c>
      <c r="W46" t="n">
        <v>7889025.0</v>
      </c>
      <c r="X46" t="s">
        <v>772</v>
      </c>
      <c r="Y46" t="s">
        <v>94</v>
      </c>
      <c r="Z46" t="s">
        <v>58</v>
      </c>
      <c r="AA46" t="s">
        <v>117</v>
      </c>
      <c r="AB46" t="s">
        <v>773</v>
      </c>
      <c r="AC46" t="s">
        <v>68</v>
      </c>
      <c r="AD46" t="n">
        <v>44.974119</v>
      </c>
      <c r="AE46" t="n">
        <v>-93.227014</v>
      </c>
      <c r="AF46" t="s">
        <v>774</v>
      </c>
      <c r="AG46" t="s">
        <v>775</v>
      </c>
      <c r="AH46" t="s">
        <v>776</v>
      </c>
      <c r="AI46" t="s">
        <v>777</v>
      </c>
      <c r="AJ46" t="s">
        <v>101</v>
      </c>
      <c r="AK46" t="s">
        <v>778</v>
      </c>
      <c r="AL46" t="s">
        <v>75</v>
      </c>
      <c r="AM46" t="s">
        <v>76</v>
      </c>
      <c r="AN46" t="s">
        <v>779</v>
      </c>
      <c r="AO46" t="s">
        <v>771</v>
      </c>
      <c r="AP46" t="s">
        <v>78</v>
      </c>
      <c r="AQ46" t="s">
        <v>79</v>
      </c>
      <c r="AR46" t="n">
        <v>2017.0</v>
      </c>
      <c r="AS46" t="s">
        <v>52</v>
      </c>
      <c r="AT46" t="n">
        <v>183387.0</v>
      </c>
      <c r="AU46" t="s">
        <v>0</v>
      </c>
    </row>
    <row r="47">
      <c r="A47" t="n">
        <v>445.0</v>
      </c>
      <c r="B47" t="s">
        <v>780</v>
      </c>
      <c r="C47" t="s">
        <v>781</v>
      </c>
      <c r="D47" t="s">
        <v>782</v>
      </c>
      <c r="E47" s="1">
        <f>HYPERLINK("https://projectreporter.nih.gov/project_info_description.cfm?aid=8063089","Gender Identity and HIV Risk II")</f>
      </c>
      <c r="F47" t="s">
        <v>304</v>
      </c>
      <c r="G47" t="s">
        <v>52</v>
      </c>
      <c r="H47" t="n">
        <v>8063089.0</v>
      </c>
      <c r="I47" t="s">
        <v>783</v>
      </c>
      <c r="J47" t="s">
        <v>0</v>
      </c>
      <c r="K47" s="1">
        <f>HYPERLINK("https://projectreporter.nih.gov/project_info_details.cfm?aid=8063089","5R01HD057595-08")</f>
      </c>
      <c r="L47" t="n">
        <v>5.0</v>
      </c>
      <c r="M47" t="s">
        <v>55</v>
      </c>
      <c r="N47" t="s">
        <v>56</v>
      </c>
      <c r="O47" t="s">
        <v>784</v>
      </c>
      <c r="P47" t="s">
        <v>785</v>
      </c>
      <c r="Q47" t="s">
        <v>0</v>
      </c>
      <c r="R47" t="s">
        <v>331</v>
      </c>
      <c r="S47" t="s">
        <v>786</v>
      </c>
      <c r="T47" t="s">
        <v>787</v>
      </c>
      <c r="U47" t="s">
        <v>186</v>
      </c>
      <c r="V47" t="s">
        <v>0</v>
      </c>
      <c r="W47" t="n">
        <v>1881956.0</v>
      </c>
      <c r="X47" t="s">
        <v>788</v>
      </c>
      <c r="Y47" t="s">
        <v>94</v>
      </c>
      <c r="Z47" t="s">
        <v>58</v>
      </c>
      <c r="AA47" t="s">
        <v>789</v>
      </c>
      <c r="AB47" t="s">
        <v>773</v>
      </c>
      <c r="AC47" t="s">
        <v>68</v>
      </c>
      <c r="AD47" t="n">
        <v>44.974119</v>
      </c>
      <c r="AE47" t="n">
        <v>-93.227014</v>
      </c>
      <c r="AF47" t="s">
        <v>774</v>
      </c>
      <c r="AG47" t="s">
        <v>775</v>
      </c>
      <c r="AH47" t="s">
        <v>776</v>
      </c>
      <c r="AI47" t="s">
        <v>777</v>
      </c>
      <c r="AJ47" t="s">
        <v>101</v>
      </c>
      <c r="AK47" t="s">
        <v>778</v>
      </c>
      <c r="AL47" t="s">
        <v>75</v>
      </c>
      <c r="AM47" t="s">
        <v>76</v>
      </c>
      <c r="AN47" t="s">
        <v>790</v>
      </c>
      <c r="AO47" t="s">
        <v>787</v>
      </c>
      <c r="AP47" t="s">
        <v>78</v>
      </c>
      <c r="AQ47" t="s">
        <v>79</v>
      </c>
      <c r="AR47" t="n">
        <v>2011.0</v>
      </c>
      <c r="AS47" t="s">
        <v>52</v>
      </c>
      <c r="AT47" t="n">
        <v>620274.0</v>
      </c>
      <c r="AU47" t="s">
        <v>0</v>
      </c>
    </row>
    <row r="48">
      <c r="A48" t="n">
        <v>442.0</v>
      </c>
      <c r="B48" t="s">
        <v>48</v>
      </c>
      <c r="C48" t="s">
        <v>791</v>
      </c>
      <c r="D48" t="s">
        <v>792</v>
      </c>
      <c r="E48" s="1">
        <f>HYPERLINK("https://projectreporter.nih.gov/project_info_description.cfm?aid=9785255","The influence of intersections of race, gender, and sexual orientation discrimination for the mental health of LGB youth and adults")</f>
      </c>
      <c r="F48" t="s">
        <v>793</v>
      </c>
      <c r="G48" t="s">
        <v>83</v>
      </c>
      <c r="H48" t="n">
        <v>9785255.0</v>
      </c>
      <c r="I48" t="s">
        <v>794</v>
      </c>
      <c r="J48" t="s">
        <v>568</v>
      </c>
      <c r="K48" s="1">
        <f>HYPERLINK("https://projectreporter.nih.gov/project_info_details.cfm?aid=9785255","5F31MH115608-02")</f>
      </c>
      <c r="L48" t="n">
        <v>5.0</v>
      </c>
      <c r="M48" t="s">
        <v>366</v>
      </c>
      <c r="N48" t="s">
        <v>86</v>
      </c>
      <c r="O48" t="s">
        <v>795</v>
      </c>
      <c r="P48" t="s">
        <v>88</v>
      </c>
      <c r="Q48" t="s">
        <v>0</v>
      </c>
      <c r="R48" t="s">
        <v>796</v>
      </c>
      <c r="S48" t="s">
        <v>797</v>
      </c>
      <c r="T48" t="s">
        <v>798</v>
      </c>
      <c r="U48" t="s">
        <v>369</v>
      </c>
      <c r="V48" t="s">
        <v>0</v>
      </c>
      <c r="W48" t="n">
        <v>1.4645129E7</v>
      </c>
      <c r="X48" t="s">
        <v>799</v>
      </c>
      <c r="Y48" t="s">
        <v>94</v>
      </c>
      <c r="Z48" t="s">
        <v>624</v>
      </c>
      <c r="AA48" t="s">
        <v>800</v>
      </c>
      <c r="AB48" t="s">
        <v>801</v>
      </c>
      <c r="AC48" t="s">
        <v>68</v>
      </c>
      <c r="AD48" t="n">
        <v>30.291659</v>
      </c>
      <c r="AE48" t="n">
        <v>-97.73777</v>
      </c>
      <c r="AF48" t="s">
        <v>802</v>
      </c>
      <c r="AG48" t="s">
        <v>803</v>
      </c>
      <c r="AH48" t="s">
        <v>804</v>
      </c>
      <c r="AI48" t="s">
        <v>457</v>
      </c>
      <c r="AJ48" t="s">
        <v>267</v>
      </c>
      <c r="AK48" t="s">
        <v>805</v>
      </c>
      <c r="AL48" t="s">
        <v>75</v>
      </c>
      <c r="AM48" t="s">
        <v>76</v>
      </c>
      <c r="AN48" t="s">
        <v>437</v>
      </c>
      <c r="AO48" t="s">
        <v>438</v>
      </c>
      <c r="AP48" t="s">
        <v>105</v>
      </c>
      <c r="AQ48" t="s">
        <v>123</v>
      </c>
      <c r="AR48" t="n">
        <v>2019.0</v>
      </c>
      <c r="AS48" t="s">
        <v>83</v>
      </c>
      <c r="AT48" t="n">
        <v>41581.0</v>
      </c>
      <c r="AU48" t="s">
        <v>0</v>
      </c>
    </row>
    <row r="49">
      <c r="A49" t="n">
        <v>440.0</v>
      </c>
      <c r="B49" t="s">
        <v>806</v>
      </c>
      <c r="C49" t="s">
        <v>807</v>
      </c>
      <c r="D49" t="s">
        <v>808</v>
      </c>
      <c r="E49" s="1">
        <f>HYPERLINK("https://projectreporter.nih.gov/project_info_description.cfm?aid=8284479","Sex Differences in fMRI of stress in cocaine-exposed youth at-risk for addiction")</f>
      </c>
      <c r="F49" t="s">
        <v>304</v>
      </c>
      <c r="G49" t="s">
        <v>210</v>
      </c>
      <c r="H49" t="n">
        <v>8284479.0</v>
      </c>
      <c r="I49" t="s">
        <v>0</v>
      </c>
      <c r="J49" t="s">
        <v>0</v>
      </c>
      <c r="K49" s="1">
        <f>HYPERLINK("https://projectreporter.nih.gov/project_info_details.cfm?aid=8284479","5P50DA016556-10")</f>
      </c>
      <c r="L49" t="n">
        <v>5.0</v>
      </c>
      <c r="M49" t="s">
        <v>622</v>
      </c>
      <c r="N49" t="s">
        <v>213</v>
      </c>
      <c r="O49" t="s">
        <v>623</v>
      </c>
      <c r="P49" t="s">
        <v>624</v>
      </c>
      <c r="Q49" t="s">
        <v>0</v>
      </c>
      <c r="R49" t="s">
        <v>66</v>
      </c>
      <c r="S49" t="s">
        <v>0</v>
      </c>
      <c r="T49" t="s">
        <v>625</v>
      </c>
      <c r="U49" t="s">
        <v>626</v>
      </c>
      <c r="V49" t="n">
        <v>7.0</v>
      </c>
      <c r="W49" t="n">
        <v>1970736.0</v>
      </c>
      <c r="X49" t="s">
        <v>627</v>
      </c>
      <c r="Y49" t="s">
        <v>94</v>
      </c>
      <c r="Z49" t="s">
        <v>182</v>
      </c>
      <c r="AA49" t="s">
        <v>66</v>
      </c>
      <c r="AB49" t="s">
        <v>371</v>
      </c>
      <c r="AC49" t="s">
        <v>68</v>
      </c>
      <c r="AD49" t="n">
        <v>41.302711</v>
      </c>
      <c r="AE49" t="n">
        <v>-72.931986</v>
      </c>
      <c r="AF49" t="s">
        <v>372</v>
      </c>
      <c r="AG49" t="s">
        <v>373</v>
      </c>
      <c r="AH49" t="s">
        <v>374</v>
      </c>
      <c r="AI49" t="s">
        <v>375</v>
      </c>
      <c r="AJ49" t="s">
        <v>628</v>
      </c>
      <c r="AK49" t="s">
        <v>377</v>
      </c>
      <c r="AL49" t="s">
        <v>75</v>
      </c>
      <c r="AM49" t="s">
        <v>76</v>
      </c>
      <c r="AN49" t="s">
        <v>629</v>
      </c>
      <c r="AO49" t="s">
        <v>625</v>
      </c>
      <c r="AP49" t="s">
        <v>0</v>
      </c>
      <c r="AQ49" t="s">
        <v>630</v>
      </c>
      <c r="AR49" t="n">
        <v>2011.0</v>
      </c>
      <c r="AS49" t="s">
        <v>0</v>
      </c>
      <c r="AT49" t="s">
        <v>0</v>
      </c>
      <c r="AU49" t="n">
        <v>113442.0</v>
      </c>
    </row>
    <row r="50">
      <c r="A50" t="n">
        <v>439.0</v>
      </c>
      <c r="B50" t="s">
        <v>48</v>
      </c>
      <c r="C50" t="s">
        <v>809</v>
      </c>
      <c r="D50" t="s">
        <v>810</v>
      </c>
      <c r="E50" s="1">
        <f>HYPERLINK("https://projectreporter.nih.gov/project_info_description.cfm?aid=9707594","Adolescent and parent stress and support related to adolescent gender identity.")</f>
      </c>
      <c r="F50" t="s">
        <v>811</v>
      </c>
      <c r="G50" t="s">
        <v>52</v>
      </c>
      <c r="H50" t="n">
        <v>9707594.0</v>
      </c>
      <c r="I50" t="s">
        <v>812</v>
      </c>
      <c r="J50" t="s">
        <v>813</v>
      </c>
      <c r="K50" s="1">
        <f>HYPERLINK("https://projectreporter.nih.gov/project_info_details.cfm?aid=9707594","5F31HD091981-02")</f>
      </c>
      <c r="L50" t="n">
        <v>5.0</v>
      </c>
      <c r="M50" t="s">
        <v>366</v>
      </c>
      <c r="N50" t="s">
        <v>56</v>
      </c>
      <c r="O50" t="s">
        <v>814</v>
      </c>
      <c r="P50" t="s">
        <v>88</v>
      </c>
      <c r="Q50" t="s">
        <v>0</v>
      </c>
      <c r="R50" t="s">
        <v>151</v>
      </c>
      <c r="S50" t="s">
        <v>815</v>
      </c>
      <c r="T50" t="s">
        <v>816</v>
      </c>
      <c r="U50" t="s">
        <v>369</v>
      </c>
      <c r="V50" t="s">
        <v>0</v>
      </c>
      <c r="W50" t="n">
        <v>1.2660444E7</v>
      </c>
      <c r="X50" t="s">
        <v>817</v>
      </c>
      <c r="Y50" t="s">
        <v>94</v>
      </c>
      <c r="Z50" t="s">
        <v>404</v>
      </c>
      <c r="AA50" t="s">
        <v>818</v>
      </c>
      <c r="AB50" t="s">
        <v>405</v>
      </c>
      <c r="AC50" t="s">
        <v>68</v>
      </c>
      <c r="AD50" t="n">
        <v>34.071312</v>
      </c>
      <c r="AE50" t="n">
        <v>-118.443545</v>
      </c>
      <c r="AF50" t="s">
        <v>406</v>
      </c>
      <c r="AG50" t="s">
        <v>407</v>
      </c>
      <c r="AH50" t="s">
        <v>71</v>
      </c>
      <c r="AI50" t="s">
        <v>72</v>
      </c>
      <c r="AJ50" t="s">
        <v>267</v>
      </c>
      <c r="AK50" t="s">
        <v>408</v>
      </c>
      <c r="AL50" t="s">
        <v>75</v>
      </c>
      <c r="AM50" t="s">
        <v>76</v>
      </c>
      <c r="AN50" t="s">
        <v>819</v>
      </c>
      <c r="AO50" t="s">
        <v>816</v>
      </c>
      <c r="AP50" t="s">
        <v>78</v>
      </c>
      <c r="AQ50" t="s">
        <v>123</v>
      </c>
      <c r="AR50" t="n">
        <v>2019.0</v>
      </c>
      <c r="AS50" t="s">
        <v>52</v>
      </c>
      <c r="AT50" t="n">
        <v>37148.0</v>
      </c>
      <c r="AU50" t="s">
        <v>0</v>
      </c>
    </row>
    <row r="51">
      <c r="A51" t="n">
        <v>433.0</v>
      </c>
      <c r="B51" t="s">
        <v>48</v>
      </c>
      <c r="C51" t="s">
        <v>820</v>
      </c>
      <c r="D51" t="s">
        <v>821</v>
      </c>
      <c r="E51" s="1">
        <f>HYPERLINK("https://projectreporter.nih.gov/project_info_description.cfm?aid=9693082","Computer Assisted Family Intervention to Treat Self-Harm Disparities in Latinas and Sexual/Gender Minority Youth")</f>
      </c>
      <c r="F51" t="s">
        <v>304</v>
      </c>
      <c r="G51" t="s">
        <v>305</v>
      </c>
      <c r="H51" t="n">
        <v>9693082.0</v>
      </c>
      <c r="I51" t="s">
        <v>822</v>
      </c>
      <c r="J51" t="s">
        <v>823</v>
      </c>
      <c r="K51" s="1">
        <f>HYPERLINK("https://projectreporter.nih.gov/project_info_details.cfm?aid=9693082","5U54MD002266-13")</f>
      </c>
      <c r="L51" t="n">
        <v>5.0</v>
      </c>
      <c r="M51" t="s">
        <v>824</v>
      </c>
      <c r="N51" t="s">
        <v>309</v>
      </c>
      <c r="O51" t="s">
        <v>825</v>
      </c>
      <c r="P51" t="s">
        <v>280</v>
      </c>
      <c r="Q51" t="s">
        <v>0</v>
      </c>
      <c r="R51" t="s">
        <v>66</v>
      </c>
      <c r="S51" t="s">
        <v>0</v>
      </c>
      <c r="T51" t="s">
        <v>0</v>
      </c>
      <c r="U51" t="s">
        <v>826</v>
      </c>
      <c r="V51" t="n">
        <v>6888.0</v>
      </c>
      <c r="W51" t="n">
        <v>1960429.0</v>
      </c>
      <c r="X51" t="s">
        <v>827</v>
      </c>
      <c r="Y51" t="s">
        <v>94</v>
      </c>
      <c r="Z51" t="s">
        <v>828</v>
      </c>
      <c r="AA51" t="s">
        <v>66</v>
      </c>
      <c r="AB51" t="s">
        <v>829</v>
      </c>
      <c r="AC51" t="s">
        <v>68</v>
      </c>
      <c r="AD51" t="n">
        <v>25.71188</v>
      </c>
      <c r="AE51" t="n">
        <v>-80.284456</v>
      </c>
      <c r="AF51" t="s">
        <v>830</v>
      </c>
      <c r="AG51" t="s">
        <v>831</v>
      </c>
      <c r="AH51" t="s">
        <v>832</v>
      </c>
      <c r="AI51" t="s">
        <v>833</v>
      </c>
      <c r="AJ51" t="s">
        <v>628</v>
      </c>
      <c r="AK51" t="s">
        <v>834</v>
      </c>
      <c r="AL51" t="s">
        <v>75</v>
      </c>
      <c r="AM51" t="s">
        <v>76</v>
      </c>
      <c r="AN51" t="s">
        <v>835</v>
      </c>
      <c r="AO51" t="s">
        <v>518</v>
      </c>
      <c r="AP51" t="s">
        <v>0</v>
      </c>
      <c r="AQ51" t="s">
        <v>630</v>
      </c>
      <c r="AR51" t="n">
        <v>2019.0</v>
      </c>
      <c r="AS51" t="s">
        <v>0</v>
      </c>
      <c r="AT51" t="s">
        <v>0</v>
      </c>
      <c r="AU51" t="n">
        <v>121436.0</v>
      </c>
    </row>
    <row r="52">
      <c r="A52" t="n">
        <v>429.0</v>
      </c>
      <c r="B52" t="s">
        <v>836</v>
      </c>
      <c r="C52" t="s">
        <v>837</v>
      </c>
      <c r="D52" t="s">
        <v>838</v>
      </c>
      <c r="E52" s="1">
        <f>HYPERLINK("https://projectreporter.nih.gov/project_info_description.cfm?aid=9568445","Exploring Quality Measures for the Care of Transgender Persons")</f>
      </c>
      <c r="F52" t="s">
        <v>839</v>
      </c>
      <c r="G52" t="s">
        <v>305</v>
      </c>
      <c r="H52" t="n">
        <v>9568445.0</v>
      </c>
      <c r="I52" t="s">
        <v>840</v>
      </c>
      <c r="J52" t="s">
        <v>255</v>
      </c>
      <c r="K52" s="1">
        <f>HYPERLINK("https://projectreporter.nih.gov/project_info_details.cfm?aid=9568445","5R21MD012371-02")</f>
      </c>
      <c r="L52" t="n">
        <v>5.0</v>
      </c>
      <c r="M52" t="s">
        <v>130</v>
      </c>
      <c r="N52" t="s">
        <v>309</v>
      </c>
      <c r="O52" t="s">
        <v>841</v>
      </c>
      <c r="P52" t="s">
        <v>88</v>
      </c>
      <c r="Q52" t="s">
        <v>0</v>
      </c>
      <c r="R52" t="s">
        <v>842</v>
      </c>
      <c r="S52" t="s">
        <v>843</v>
      </c>
      <c r="T52" t="s">
        <v>518</v>
      </c>
      <c r="U52" t="s">
        <v>844</v>
      </c>
      <c r="V52" t="s">
        <v>0</v>
      </c>
      <c r="W52" t="n">
        <v>1.4881279E7</v>
      </c>
      <c r="X52" t="s">
        <v>845</v>
      </c>
      <c r="Y52" t="s">
        <v>846</v>
      </c>
      <c r="Z52" t="s">
        <v>137</v>
      </c>
      <c r="AA52" t="s">
        <v>335</v>
      </c>
      <c r="AB52" t="s">
        <v>847</v>
      </c>
      <c r="AC52" t="s">
        <v>68</v>
      </c>
      <c r="AD52" t="n">
        <v>42.33625</v>
      </c>
      <c r="AE52" t="n">
        <v>-71.070668</v>
      </c>
      <c r="AF52" t="s">
        <v>848</v>
      </c>
      <c r="AG52" t="s">
        <v>849</v>
      </c>
      <c r="AH52" t="s">
        <v>319</v>
      </c>
      <c r="AI52" t="s">
        <v>246</v>
      </c>
      <c r="AJ52" t="s">
        <v>341</v>
      </c>
      <c r="AK52" t="s">
        <v>850</v>
      </c>
      <c r="AL52" t="s">
        <v>75</v>
      </c>
      <c r="AM52" t="s">
        <v>76</v>
      </c>
      <c r="AN52" t="s">
        <v>851</v>
      </c>
      <c r="AO52" t="s">
        <v>518</v>
      </c>
      <c r="AP52" t="s">
        <v>323</v>
      </c>
      <c r="AQ52" t="s">
        <v>79</v>
      </c>
      <c r="AR52" t="n">
        <v>2018.0</v>
      </c>
      <c r="AS52" t="s">
        <v>305</v>
      </c>
      <c r="AT52" t="n">
        <v>220535.0</v>
      </c>
      <c r="AU52" t="s">
        <v>0</v>
      </c>
    </row>
    <row r="53">
      <c r="A53" t="n">
        <v>423.0</v>
      </c>
      <c r="B53" t="s">
        <v>48</v>
      </c>
      <c r="C53" t="s">
        <v>852</v>
      </c>
      <c r="D53" t="s">
        <v>853</v>
      </c>
      <c r="E53" s="1">
        <f>HYPERLINK("https://projectreporter.nih.gov/project_info_description.cfm?aid=9691799","Patterns of Alcohol Use and Alcohol-Related Care Among Transgender Persons")</f>
      </c>
      <c r="F53" t="s">
        <v>854</v>
      </c>
      <c r="G53" t="s">
        <v>855</v>
      </c>
      <c r="H53" t="n">
        <v>9691799.0</v>
      </c>
      <c r="I53" t="s">
        <v>856</v>
      </c>
      <c r="J53" t="s">
        <v>857</v>
      </c>
      <c r="K53" s="1">
        <f>HYPERLINK("https://projectreporter.nih.gov/project_info_details.cfm?aid=9691799","5R21AA025973-02")</f>
      </c>
      <c r="L53" t="n">
        <v>5.0</v>
      </c>
      <c r="M53" t="s">
        <v>130</v>
      </c>
      <c r="N53" t="s">
        <v>858</v>
      </c>
      <c r="O53" t="s">
        <v>859</v>
      </c>
      <c r="P53" t="s">
        <v>88</v>
      </c>
      <c r="Q53" t="s">
        <v>0</v>
      </c>
      <c r="R53" t="s">
        <v>860</v>
      </c>
      <c r="S53" t="s">
        <v>851</v>
      </c>
      <c r="T53" t="s">
        <v>518</v>
      </c>
      <c r="U53" t="s">
        <v>861</v>
      </c>
      <c r="V53" t="s">
        <v>0</v>
      </c>
      <c r="W53" t="n">
        <v>8530120.0</v>
      </c>
      <c r="X53" t="s">
        <v>862</v>
      </c>
      <c r="Y53" t="s">
        <v>555</v>
      </c>
      <c r="Z53" t="s">
        <v>137</v>
      </c>
      <c r="AA53" t="s">
        <v>863</v>
      </c>
      <c r="AB53" t="s">
        <v>864</v>
      </c>
      <c r="AC53" t="s">
        <v>68</v>
      </c>
      <c r="AD53" t="n">
        <v>47.660732</v>
      </c>
      <c r="AE53" t="n">
        <v>-122.31468</v>
      </c>
      <c r="AF53" t="s">
        <v>865</v>
      </c>
      <c r="AG53" t="s">
        <v>866</v>
      </c>
      <c r="AH53" t="s">
        <v>867</v>
      </c>
      <c r="AI53" t="s">
        <v>868</v>
      </c>
      <c r="AJ53" t="s">
        <v>341</v>
      </c>
      <c r="AK53" t="s">
        <v>869</v>
      </c>
      <c r="AL53" t="s">
        <v>75</v>
      </c>
      <c r="AM53" t="s">
        <v>76</v>
      </c>
      <c r="AN53" t="s">
        <v>835</v>
      </c>
      <c r="AO53" t="s">
        <v>518</v>
      </c>
      <c r="AP53" t="s">
        <v>870</v>
      </c>
      <c r="AQ53" t="s">
        <v>79</v>
      </c>
      <c r="AR53" t="n">
        <v>2019.0</v>
      </c>
      <c r="AS53" t="s">
        <v>855</v>
      </c>
      <c r="AT53" t="n">
        <v>186330.0</v>
      </c>
      <c r="AU53" t="s">
        <v>0</v>
      </c>
    </row>
    <row r="54">
      <c r="A54" t="n">
        <v>422.0</v>
      </c>
      <c r="B54" t="s">
        <v>871</v>
      </c>
      <c r="C54" t="s">
        <v>872</v>
      </c>
      <c r="D54" t="s">
        <v>873</v>
      </c>
      <c r="E54" s="1">
        <f>HYPERLINK("https://projectreporter.nih.gov/project_info_description.cfm?aid=9320528","LGBT Adults and Tobacco Stigma: A Qualitative Study")</f>
      </c>
      <c r="F54" t="s">
        <v>874</v>
      </c>
      <c r="G54" t="s">
        <v>604</v>
      </c>
      <c r="H54" t="n">
        <v>9320528.0</v>
      </c>
      <c r="I54" t="s">
        <v>875</v>
      </c>
      <c r="J54" t="s">
        <v>54</v>
      </c>
      <c r="K54" s="1">
        <f>HYPERLINK("https://projectreporter.nih.gov/project_info_details.cfm?aid=9320528","5R01CA190238-03")</f>
      </c>
      <c r="L54" t="n">
        <v>5.0</v>
      </c>
      <c r="M54" t="s">
        <v>55</v>
      </c>
      <c r="N54" t="s">
        <v>72</v>
      </c>
      <c r="O54" t="s">
        <v>876</v>
      </c>
      <c r="P54" t="s">
        <v>182</v>
      </c>
      <c r="Q54" t="s">
        <v>0</v>
      </c>
      <c r="R54" t="s">
        <v>877</v>
      </c>
      <c r="S54" t="s">
        <v>60</v>
      </c>
      <c r="T54" t="s">
        <v>878</v>
      </c>
      <c r="U54" t="s">
        <v>879</v>
      </c>
      <c r="V54" t="s">
        <v>0</v>
      </c>
      <c r="W54" t="n">
        <v>1.1570569E7</v>
      </c>
      <c r="X54" t="s">
        <v>880</v>
      </c>
      <c r="Y54" t="s">
        <v>94</v>
      </c>
      <c r="Z54" t="s">
        <v>274</v>
      </c>
      <c r="AA54" t="s">
        <v>66</v>
      </c>
      <c r="AB54" t="s">
        <v>595</v>
      </c>
      <c r="AC54" t="s">
        <v>68</v>
      </c>
      <c r="AD54" t="n">
        <v>39.050676</v>
      </c>
      <c r="AE54" t="n">
        <v>-76.93727</v>
      </c>
      <c r="AF54" t="s">
        <v>596</v>
      </c>
      <c r="AG54" t="s">
        <v>597</v>
      </c>
      <c r="AH54" t="s">
        <v>598</v>
      </c>
      <c r="AI54" t="s">
        <v>309</v>
      </c>
      <c r="AJ54" t="s">
        <v>192</v>
      </c>
      <c r="AK54" t="s">
        <v>599</v>
      </c>
      <c r="AL54" t="s">
        <v>75</v>
      </c>
      <c r="AM54" t="s">
        <v>76</v>
      </c>
      <c r="AN54" t="s">
        <v>779</v>
      </c>
      <c r="AO54" t="s">
        <v>878</v>
      </c>
      <c r="AP54" t="s">
        <v>618</v>
      </c>
      <c r="AQ54" t="s">
        <v>79</v>
      </c>
      <c r="AR54" t="n">
        <v>2017.0</v>
      </c>
      <c r="AS54" t="s">
        <v>604</v>
      </c>
      <c r="AT54" t="n">
        <v>455448.0</v>
      </c>
      <c r="AU54" t="s">
        <v>0</v>
      </c>
    </row>
    <row r="55">
      <c r="A55" t="n">
        <v>421.0</v>
      </c>
      <c r="B55" t="s">
        <v>881</v>
      </c>
      <c r="C55" t="s">
        <v>882</v>
      </c>
      <c r="D55" t="s">
        <v>883</v>
      </c>
      <c r="E55" s="1">
        <f>HYPERLINK("https://projectreporter.nih.gov/project_info_description.cfm?aid=9513322","Mechanisms of Health Promotion in Diverse Youth Through Gay-Straight Alliances")</f>
      </c>
      <c r="F55" t="s">
        <v>884</v>
      </c>
      <c r="G55" t="s">
        <v>305</v>
      </c>
      <c r="H55" t="n">
        <v>9513322.0</v>
      </c>
      <c r="I55" t="s">
        <v>885</v>
      </c>
      <c r="J55" t="s">
        <v>54</v>
      </c>
      <c r="K55" s="1">
        <f>HYPERLINK("https://projectreporter.nih.gov/project_info_details.cfm?aid=9513322","5R01MD009458-04")</f>
      </c>
      <c r="L55" t="n">
        <v>5.0</v>
      </c>
      <c r="M55" t="s">
        <v>55</v>
      </c>
      <c r="N55" t="s">
        <v>309</v>
      </c>
      <c r="O55" t="s">
        <v>886</v>
      </c>
      <c r="P55" t="s">
        <v>274</v>
      </c>
      <c r="Q55" t="s">
        <v>0</v>
      </c>
      <c r="R55" t="s">
        <v>516</v>
      </c>
      <c r="S55" t="s">
        <v>887</v>
      </c>
      <c r="T55" t="s">
        <v>61</v>
      </c>
      <c r="U55" t="s">
        <v>277</v>
      </c>
      <c r="V55" t="s">
        <v>0</v>
      </c>
      <c r="W55" t="n">
        <v>1.034996E7</v>
      </c>
      <c r="X55" t="s">
        <v>888</v>
      </c>
      <c r="Y55" t="s">
        <v>94</v>
      </c>
      <c r="Z55" t="s">
        <v>274</v>
      </c>
      <c r="AA55" t="s">
        <v>167</v>
      </c>
      <c r="AB55" t="s">
        <v>889</v>
      </c>
      <c r="AC55" t="s">
        <v>68</v>
      </c>
      <c r="AD55" t="n">
        <v>42.338192</v>
      </c>
      <c r="AE55" t="n">
        <v>-71.170812</v>
      </c>
      <c r="AF55" t="s">
        <v>890</v>
      </c>
      <c r="AG55" t="s">
        <v>891</v>
      </c>
      <c r="AH55" t="s">
        <v>892</v>
      </c>
      <c r="AI55" t="s">
        <v>246</v>
      </c>
      <c r="AJ55" t="s">
        <v>173</v>
      </c>
      <c r="AK55" t="s">
        <v>893</v>
      </c>
      <c r="AL55" t="s">
        <v>75</v>
      </c>
      <c r="AM55" t="s">
        <v>76</v>
      </c>
      <c r="AN55" t="s">
        <v>300</v>
      </c>
      <c r="AO55" t="s">
        <v>61</v>
      </c>
      <c r="AP55" t="s">
        <v>323</v>
      </c>
      <c r="AQ55" t="s">
        <v>79</v>
      </c>
      <c r="AR55" t="n">
        <v>2018.0</v>
      </c>
      <c r="AS55" t="s">
        <v>305</v>
      </c>
      <c r="AT55" t="n">
        <v>309699.0</v>
      </c>
      <c r="AU55" t="s">
        <v>0</v>
      </c>
    </row>
    <row r="56">
      <c r="A56" t="n">
        <v>420.0</v>
      </c>
      <c r="B56" t="s">
        <v>894</v>
      </c>
      <c r="C56" t="s">
        <v>895</v>
      </c>
      <c r="D56" t="s">
        <v>896</v>
      </c>
      <c r="E56" s="1">
        <f>HYPERLINK("https://projectreporter.nih.gov/project_info_description.cfm?aid=8702136","Multicomponent Intervention to Reduce Sexual Risk and Substance Use")</f>
      </c>
      <c r="F56" t="s">
        <v>304</v>
      </c>
      <c r="G56" t="s">
        <v>210</v>
      </c>
      <c r="H56" t="n">
        <v>8702136.0</v>
      </c>
      <c r="I56" t="s">
        <v>897</v>
      </c>
      <c r="J56" t="s">
        <v>898</v>
      </c>
      <c r="K56" s="1">
        <f>HYPERLINK("https://projectreporter.nih.gov/project_info_details.cfm?aid=8702136","5R01DA034661-03")</f>
      </c>
      <c r="L56" t="n">
        <v>5.0</v>
      </c>
      <c r="M56" t="s">
        <v>55</v>
      </c>
      <c r="N56" t="s">
        <v>213</v>
      </c>
      <c r="O56" t="s">
        <v>899</v>
      </c>
      <c r="P56" t="s">
        <v>182</v>
      </c>
      <c r="Q56" t="s">
        <v>0</v>
      </c>
      <c r="R56" t="s">
        <v>900</v>
      </c>
      <c r="S56" t="s">
        <v>901</v>
      </c>
      <c r="T56" t="s">
        <v>902</v>
      </c>
      <c r="U56" t="s">
        <v>903</v>
      </c>
      <c r="V56" t="s">
        <v>0</v>
      </c>
      <c r="W56" t="n">
        <v>2097088.0</v>
      </c>
      <c r="X56" t="s">
        <v>904</v>
      </c>
      <c r="Y56" t="s">
        <v>94</v>
      </c>
      <c r="Z56" t="s">
        <v>116</v>
      </c>
      <c r="AA56" t="s">
        <v>167</v>
      </c>
      <c r="AB56" t="s">
        <v>905</v>
      </c>
      <c r="AC56" t="s">
        <v>68</v>
      </c>
      <c r="AD56" t="n">
        <v>40.698048</v>
      </c>
      <c r="AE56" t="n">
        <v>-73.947807</v>
      </c>
      <c r="AF56" t="s">
        <v>906</v>
      </c>
      <c r="AG56" t="s">
        <v>907</v>
      </c>
      <c r="AH56" t="s">
        <v>171</v>
      </c>
      <c r="AI56" t="s">
        <v>172</v>
      </c>
      <c r="AJ56" t="s">
        <v>267</v>
      </c>
      <c r="AK56" t="s">
        <v>908</v>
      </c>
      <c r="AL56" t="s">
        <v>75</v>
      </c>
      <c r="AM56" t="s">
        <v>76</v>
      </c>
      <c r="AN56" t="s">
        <v>909</v>
      </c>
      <c r="AO56" t="s">
        <v>910</v>
      </c>
      <c r="AP56" t="s">
        <v>227</v>
      </c>
      <c r="AQ56" t="s">
        <v>79</v>
      </c>
      <c r="AR56" t="n">
        <v>2014.0</v>
      </c>
      <c r="AS56" t="s">
        <v>210</v>
      </c>
      <c r="AT56" t="n">
        <v>692704.0</v>
      </c>
      <c r="AU56" t="s">
        <v>0</v>
      </c>
    </row>
    <row r="57">
      <c r="A57" t="n">
        <v>419.0</v>
      </c>
      <c r="B57" t="s">
        <v>911</v>
      </c>
      <c r="C57" t="s">
        <v>912</v>
      </c>
      <c r="D57" t="s">
        <v>913</v>
      </c>
      <c r="E57" s="1">
        <f>HYPERLINK("https://projectreporter.nih.gov/project_info_description.cfm?aid=8714018","Testing a Comorbid PTSD &amp; Substance/Alcohol Use Intervention in Delinquent Girls")</f>
      </c>
      <c r="F57" t="s">
        <v>914</v>
      </c>
      <c r="G57" t="s">
        <v>52</v>
      </c>
      <c r="H57" t="n">
        <v>8714018.0</v>
      </c>
      <c r="I57" t="s">
        <v>909</v>
      </c>
      <c r="J57" t="s">
        <v>636</v>
      </c>
      <c r="K57" s="1">
        <f>HYPERLINK("https://projectreporter.nih.gov/project_info_details.cfm?aid=8714018","5R01HD066161-05")</f>
      </c>
      <c r="L57" t="n">
        <v>5.0</v>
      </c>
      <c r="M57" t="s">
        <v>55</v>
      </c>
      <c r="N57" t="s">
        <v>56</v>
      </c>
      <c r="O57" t="s">
        <v>915</v>
      </c>
      <c r="P57" t="s">
        <v>58</v>
      </c>
      <c r="Q57" t="s">
        <v>0</v>
      </c>
      <c r="R57" t="s">
        <v>431</v>
      </c>
      <c r="S57" t="s">
        <v>916</v>
      </c>
      <c r="T57" t="s">
        <v>902</v>
      </c>
      <c r="U57" t="s">
        <v>135</v>
      </c>
      <c r="V57" t="s">
        <v>0</v>
      </c>
      <c r="W57" t="n">
        <v>6795685.0</v>
      </c>
      <c r="X57" t="s">
        <v>917</v>
      </c>
      <c r="Y57" t="s">
        <v>94</v>
      </c>
      <c r="Z57" t="s">
        <v>918</v>
      </c>
      <c r="AA57" t="s">
        <v>96</v>
      </c>
      <c r="AB57" t="s">
        <v>919</v>
      </c>
      <c r="AC57" t="s">
        <v>68</v>
      </c>
      <c r="AD57" t="n">
        <v>32.876991</v>
      </c>
      <c r="AE57" t="n">
        <v>-117.24087</v>
      </c>
      <c r="AF57" t="s">
        <v>920</v>
      </c>
      <c r="AG57" t="s">
        <v>921</v>
      </c>
      <c r="AH57" t="s">
        <v>922</v>
      </c>
      <c r="AI57" t="s">
        <v>72</v>
      </c>
      <c r="AJ57" t="s">
        <v>101</v>
      </c>
      <c r="AK57" t="s">
        <v>923</v>
      </c>
      <c r="AL57" t="s">
        <v>75</v>
      </c>
      <c r="AM57" t="s">
        <v>76</v>
      </c>
      <c r="AN57" t="s">
        <v>909</v>
      </c>
      <c r="AO57" t="s">
        <v>902</v>
      </c>
      <c r="AP57" t="s">
        <v>78</v>
      </c>
      <c r="AQ57" t="s">
        <v>79</v>
      </c>
      <c r="AR57" t="n">
        <v>2014.0</v>
      </c>
      <c r="AS57" t="s">
        <v>52</v>
      </c>
      <c r="AT57" t="n">
        <v>458670.0</v>
      </c>
      <c r="AU57" t="s">
        <v>0</v>
      </c>
    </row>
    <row r="58">
      <c r="A58" t="n">
        <v>418.0</v>
      </c>
      <c r="B58" t="s">
        <v>924</v>
      </c>
      <c r="C58" t="s">
        <v>925</v>
      </c>
      <c r="D58" t="s">
        <v>926</v>
      </c>
      <c r="E58" s="1">
        <f>HYPERLINK("https://projectreporter.nih.gov/project_info_description.cfm?aid=7633263","Gender, Relationship Dynamics, and HIV Risk")</f>
      </c>
      <c r="F58" t="s">
        <v>304</v>
      </c>
      <c r="G58" t="s">
        <v>210</v>
      </c>
      <c r="H58" t="n">
        <v>7633263.0</v>
      </c>
      <c r="I58" t="s">
        <v>927</v>
      </c>
      <c r="J58" t="s">
        <v>0</v>
      </c>
      <c r="K58" s="1">
        <f>HYPERLINK("https://projectreporter.nih.gov/project_info_details.cfm?aid=7633263","5R01DA018621-05")</f>
      </c>
      <c r="L58" t="n">
        <v>5.0</v>
      </c>
      <c r="M58" t="s">
        <v>55</v>
      </c>
      <c r="N58" t="s">
        <v>213</v>
      </c>
      <c r="O58" t="s">
        <v>928</v>
      </c>
      <c r="P58" t="s">
        <v>58</v>
      </c>
      <c r="Q58" t="s">
        <v>0</v>
      </c>
      <c r="R58" t="s">
        <v>215</v>
      </c>
      <c r="S58" t="s">
        <v>929</v>
      </c>
      <c r="T58" t="s">
        <v>930</v>
      </c>
      <c r="U58" t="s">
        <v>931</v>
      </c>
      <c r="V58" t="s">
        <v>0</v>
      </c>
      <c r="W58" t="n">
        <v>2680838.0</v>
      </c>
      <c r="X58" t="s">
        <v>279</v>
      </c>
      <c r="Y58" t="s">
        <v>94</v>
      </c>
      <c r="Z58" t="s">
        <v>113</v>
      </c>
      <c r="AA58" t="s">
        <v>335</v>
      </c>
      <c r="AB58" t="s">
        <v>668</v>
      </c>
      <c r="AC58" t="s">
        <v>68</v>
      </c>
      <c r="AD58" t="n">
        <v>41.828145</v>
      </c>
      <c r="AE58" t="n">
        <v>-71.401161</v>
      </c>
      <c r="AF58" t="s">
        <v>669</v>
      </c>
      <c r="AG58" t="s">
        <v>670</v>
      </c>
      <c r="AH58" t="s">
        <v>671</v>
      </c>
      <c r="AI58" t="s">
        <v>672</v>
      </c>
      <c r="AJ58" t="s">
        <v>341</v>
      </c>
      <c r="AK58" t="s">
        <v>673</v>
      </c>
      <c r="AL58" t="s">
        <v>75</v>
      </c>
      <c r="AM58" t="s">
        <v>76</v>
      </c>
      <c r="AN58" t="s">
        <v>932</v>
      </c>
      <c r="AO58" t="s">
        <v>930</v>
      </c>
      <c r="AP58" t="s">
        <v>227</v>
      </c>
      <c r="AQ58" t="s">
        <v>79</v>
      </c>
      <c r="AR58" t="n">
        <v>2009.0</v>
      </c>
      <c r="AS58" t="s">
        <v>210</v>
      </c>
      <c r="AT58" t="n">
        <v>343380.0</v>
      </c>
      <c r="AU58" t="s">
        <v>0</v>
      </c>
    </row>
    <row r="59">
      <c r="A59" t="n">
        <v>415.0</v>
      </c>
      <c r="B59" t="s">
        <v>933</v>
      </c>
      <c r="C59" t="s">
        <v>934</v>
      </c>
      <c r="D59" t="s">
        <v>935</v>
      </c>
      <c r="E59" s="1">
        <f>HYPERLINK("https://projectreporter.nih.gov/project_info_description.cfm?aid=8922636","TransNet: Developing a Research Agenda in Transgender Health and Medicine")</f>
      </c>
      <c r="F59" t="s">
        <v>936</v>
      </c>
      <c r="G59" t="s">
        <v>52</v>
      </c>
      <c r="H59" t="n">
        <v>8922636.0</v>
      </c>
      <c r="I59" t="s">
        <v>937</v>
      </c>
      <c r="J59" t="s">
        <v>758</v>
      </c>
      <c r="K59" s="1">
        <f>HYPERLINK("https://projectreporter.nih.gov/project_info_details.cfm?aid=8922636","1R13HD084267-01")</f>
      </c>
      <c r="L59" t="n">
        <v>1.0</v>
      </c>
      <c r="M59" t="s">
        <v>759</v>
      </c>
      <c r="N59" t="s">
        <v>56</v>
      </c>
      <c r="O59" t="s">
        <v>938</v>
      </c>
      <c r="P59" t="s">
        <v>113</v>
      </c>
      <c r="Q59" t="s">
        <v>0</v>
      </c>
      <c r="R59" t="s">
        <v>331</v>
      </c>
      <c r="S59" t="s">
        <v>937</v>
      </c>
      <c r="T59" t="s">
        <v>939</v>
      </c>
      <c r="U59" t="s">
        <v>940</v>
      </c>
      <c r="V59" t="s">
        <v>0</v>
      </c>
      <c r="W59" t="n">
        <v>7627985.0</v>
      </c>
      <c r="X59" t="s">
        <v>941</v>
      </c>
      <c r="Y59" t="s">
        <v>942</v>
      </c>
      <c r="Z59" t="s">
        <v>58</v>
      </c>
      <c r="AA59" t="s">
        <v>789</v>
      </c>
      <c r="AB59" t="s">
        <v>773</v>
      </c>
      <c r="AC59" t="s">
        <v>68</v>
      </c>
      <c r="AD59" t="n">
        <v>44.974119</v>
      </c>
      <c r="AE59" t="n">
        <v>-93.227014</v>
      </c>
      <c r="AF59" t="s">
        <v>774</v>
      </c>
      <c r="AG59" t="s">
        <v>775</v>
      </c>
      <c r="AH59" t="s">
        <v>776</v>
      </c>
      <c r="AI59" t="s">
        <v>777</v>
      </c>
      <c r="AJ59" t="s">
        <v>101</v>
      </c>
      <c r="AK59" t="s">
        <v>778</v>
      </c>
      <c r="AL59" t="s">
        <v>75</v>
      </c>
      <c r="AM59" t="s">
        <v>76</v>
      </c>
      <c r="AN59" t="s">
        <v>937</v>
      </c>
      <c r="AO59" t="s">
        <v>939</v>
      </c>
      <c r="AP59" t="s">
        <v>78</v>
      </c>
      <c r="AQ59" t="s">
        <v>324</v>
      </c>
      <c r="AR59" t="n">
        <v>2015.0</v>
      </c>
      <c r="AS59" t="s">
        <v>413</v>
      </c>
      <c r="AT59" t="n">
        <v>5000.0</v>
      </c>
      <c r="AU59" t="s">
        <v>0</v>
      </c>
    </row>
    <row r="60">
      <c r="A60" t="n">
        <v>415.0</v>
      </c>
      <c r="B60" t="s">
        <v>933</v>
      </c>
      <c r="C60" t="s">
        <v>934</v>
      </c>
      <c r="D60" t="s">
        <v>935</v>
      </c>
      <c r="E60" s="1">
        <f>HYPERLINK("https://projectreporter.nih.gov/project_info_description.cfm?aid=8922636","TransNet: Developing a Research Agenda in Transgender Health and Medicine")</f>
      </c>
      <c r="F60" t="s">
        <v>936</v>
      </c>
      <c r="G60" t="s">
        <v>52</v>
      </c>
      <c r="H60" t="n">
        <v>8922636.0</v>
      </c>
      <c r="I60" t="s">
        <v>937</v>
      </c>
      <c r="J60" t="s">
        <v>758</v>
      </c>
      <c r="K60" s="1">
        <f>HYPERLINK("https://projectreporter.nih.gov/project_info_details.cfm?aid=8922636","1R13HD084267-01")</f>
      </c>
      <c r="L60" t="n">
        <v>1.0</v>
      </c>
      <c r="M60" t="s">
        <v>759</v>
      </c>
      <c r="N60" t="s">
        <v>56</v>
      </c>
      <c r="O60" t="s">
        <v>938</v>
      </c>
      <c r="P60" t="s">
        <v>113</v>
      </c>
      <c r="Q60" t="s">
        <v>0</v>
      </c>
      <c r="R60" t="s">
        <v>331</v>
      </c>
      <c r="S60" t="s">
        <v>937</v>
      </c>
      <c r="T60" t="s">
        <v>939</v>
      </c>
      <c r="U60" t="s">
        <v>940</v>
      </c>
      <c r="V60" t="s">
        <v>0</v>
      </c>
      <c r="W60" t="n">
        <v>7627985.0</v>
      </c>
      <c r="X60" t="s">
        <v>941</v>
      </c>
      <c r="Y60" t="s">
        <v>942</v>
      </c>
      <c r="Z60" t="s">
        <v>58</v>
      </c>
      <c r="AA60" t="s">
        <v>789</v>
      </c>
      <c r="AB60" t="s">
        <v>773</v>
      </c>
      <c r="AC60" t="s">
        <v>68</v>
      </c>
      <c r="AD60" t="n">
        <v>44.974119</v>
      </c>
      <c r="AE60" t="n">
        <v>-93.227014</v>
      </c>
      <c r="AF60" t="s">
        <v>774</v>
      </c>
      <c r="AG60" t="s">
        <v>775</v>
      </c>
      <c r="AH60" t="s">
        <v>776</v>
      </c>
      <c r="AI60" t="s">
        <v>777</v>
      </c>
      <c r="AJ60" t="s">
        <v>101</v>
      </c>
      <c r="AK60" t="s">
        <v>778</v>
      </c>
      <c r="AL60" t="s">
        <v>75</v>
      </c>
      <c r="AM60" t="s">
        <v>76</v>
      </c>
      <c r="AN60" t="s">
        <v>937</v>
      </c>
      <c r="AO60" t="s">
        <v>939</v>
      </c>
      <c r="AP60" t="s">
        <v>78</v>
      </c>
      <c r="AQ60" t="s">
        <v>324</v>
      </c>
      <c r="AR60" t="n">
        <v>2015.0</v>
      </c>
      <c r="AS60" t="s">
        <v>604</v>
      </c>
      <c r="AT60" t="n">
        <v>5000.0</v>
      </c>
      <c r="AU60" t="s">
        <v>0</v>
      </c>
    </row>
    <row r="61">
      <c r="A61" t="n">
        <v>415.0</v>
      </c>
      <c r="B61" t="s">
        <v>933</v>
      </c>
      <c r="C61" t="s">
        <v>934</v>
      </c>
      <c r="D61" t="s">
        <v>935</v>
      </c>
      <c r="E61" s="1">
        <f>HYPERLINK("https://projectreporter.nih.gov/project_info_description.cfm?aid=8922636","TransNet: Developing a Research Agenda in Transgender Health and Medicine")</f>
      </c>
      <c r="F61" t="s">
        <v>936</v>
      </c>
      <c r="G61" t="s">
        <v>52</v>
      </c>
      <c r="H61" t="n">
        <v>8922636.0</v>
      </c>
      <c r="I61" t="s">
        <v>937</v>
      </c>
      <c r="J61" t="s">
        <v>758</v>
      </c>
      <c r="K61" s="1">
        <f>HYPERLINK("https://projectreporter.nih.gov/project_info_details.cfm?aid=8922636","1R13HD084267-01")</f>
      </c>
      <c r="L61" t="n">
        <v>1.0</v>
      </c>
      <c r="M61" t="s">
        <v>759</v>
      </c>
      <c r="N61" t="s">
        <v>56</v>
      </c>
      <c r="O61" t="s">
        <v>938</v>
      </c>
      <c r="P61" t="s">
        <v>113</v>
      </c>
      <c r="Q61" t="s">
        <v>0</v>
      </c>
      <c r="R61" t="s">
        <v>331</v>
      </c>
      <c r="S61" t="s">
        <v>937</v>
      </c>
      <c r="T61" t="s">
        <v>939</v>
      </c>
      <c r="U61" t="s">
        <v>940</v>
      </c>
      <c r="V61" t="s">
        <v>0</v>
      </c>
      <c r="W61" t="n">
        <v>7627985.0</v>
      </c>
      <c r="X61" t="s">
        <v>941</v>
      </c>
      <c r="Y61" t="s">
        <v>942</v>
      </c>
      <c r="Z61" t="s">
        <v>58</v>
      </c>
      <c r="AA61" t="s">
        <v>789</v>
      </c>
      <c r="AB61" t="s">
        <v>773</v>
      </c>
      <c r="AC61" t="s">
        <v>68</v>
      </c>
      <c r="AD61" t="n">
        <v>44.974119</v>
      </c>
      <c r="AE61" t="n">
        <v>-93.227014</v>
      </c>
      <c r="AF61" t="s">
        <v>774</v>
      </c>
      <c r="AG61" t="s">
        <v>775</v>
      </c>
      <c r="AH61" t="s">
        <v>776</v>
      </c>
      <c r="AI61" t="s">
        <v>777</v>
      </c>
      <c r="AJ61" t="s">
        <v>101</v>
      </c>
      <c r="AK61" t="s">
        <v>778</v>
      </c>
      <c r="AL61" t="s">
        <v>75</v>
      </c>
      <c r="AM61" t="s">
        <v>76</v>
      </c>
      <c r="AN61" t="s">
        <v>937</v>
      </c>
      <c r="AO61" t="s">
        <v>939</v>
      </c>
      <c r="AP61" t="s">
        <v>78</v>
      </c>
      <c r="AQ61" t="s">
        <v>324</v>
      </c>
      <c r="AR61" t="n">
        <v>2015.0</v>
      </c>
      <c r="AS61" t="s">
        <v>52</v>
      </c>
      <c r="AT61" t="n">
        <v>6000.0</v>
      </c>
      <c r="AU61" t="s">
        <v>0</v>
      </c>
    </row>
    <row r="62">
      <c r="A62" t="n">
        <v>415.0</v>
      </c>
      <c r="B62" t="s">
        <v>943</v>
      </c>
      <c r="C62" t="s">
        <v>944</v>
      </c>
      <c r="D62" t="s">
        <v>945</v>
      </c>
      <c r="E62" s="1">
        <f>HYPERLINK("https://projectreporter.nih.gov/project_info_description.cfm?aid=8616670","Fenway Adolescent Trials Unit")</f>
      </c>
      <c r="F62" t="s">
        <v>304</v>
      </c>
      <c r="G62" t="s">
        <v>52</v>
      </c>
      <c r="H62" t="n">
        <v>8616670.0</v>
      </c>
      <c r="I62" t="s">
        <v>946</v>
      </c>
      <c r="J62" t="s">
        <v>947</v>
      </c>
      <c r="K62" s="1">
        <f>HYPERLINK("https://projectreporter.nih.gov/project_info_details.cfm?aid=8616670","5U01HD068040-04")</f>
      </c>
      <c r="L62" t="n">
        <v>5.0</v>
      </c>
      <c r="M62" t="s">
        <v>948</v>
      </c>
      <c r="N62" t="s">
        <v>56</v>
      </c>
      <c r="O62" t="s">
        <v>949</v>
      </c>
      <c r="P62" t="s">
        <v>274</v>
      </c>
      <c r="Q62" t="s">
        <v>0</v>
      </c>
      <c r="R62" t="s">
        <v>950</v>
      </c>
      <c r="S62" t="s">
        <v>951</v>
      </c>
      <c r="T62" t="s">
        <v>952</v>
      </c>
      <c r="U62" t="s">
        <v>953</v>
      </c>
      <c r="V62" t="s">
        <v>0</v>
      </c>
      <c r="W62" t="n">
        <v>6406927.0</v>
      </c>
      <c r="X62" t="s">
        <v>954</v>
      </c>
      <c r="Y62" t="s">
        <v>94</v>
      </c>
      <c r="Z62" t="s">
        <v>137</v>
      </c>
      <c r="AA62" t="s">
        <v>66</v>
      </c>
      <c r="AB62" t="s">
        <v>316</v>
      </c>
      <c r="AC62" t="s">
        <v>68</v>
      </c>
      <c r="AD62" t="n">
        <v>42.344065</v>
      </c>
      <c r="AE62" t="n">
        <v>-71.099303</v>
      </c>
      <c r="AF62" t="s">
        <v>317</v>
      </c>
      <c r="AG62" t="s">
        <v>318</v>
      </c>
      <c r="AH62" t="s">
        <v>319</v>
      </c>
      <c r="AI62" t="s">
        <v>246</v>
      </c>
      <c r="AJ62" t="s">
        <v>320</v>
      </c>
      <c r="AK62" t="s">
        <v>321</v>
      </c>
      <c r="AL62" t="s">
        <v>75</v>
      </c>
      <c r="AM62" t="s">
        <v>76</v>
      </c>
      <c r="AN62" t="s">
        <v>955</v>
      </c>
      <c r="AO62" t="s">
        <v>956</v>
      </c>
      <c r="AP62" t="s">
        <v>78</v>
      </c>
      <c r="AQ62" t="s">
        <v>79</v>
      </c>
      <c r="AR62" t="n">
        <v>2014.0</v>
      </c>
      <c r="AS62" t="s">
        <v>52</v>
      </c>
      <c r="AT62" t="n">
        <v>631265.0</v>
      </c>
      <c r="AU62" t="s">
        <v>0</v>
      </c>
    </row>
    <row r="63">
      <c r="A63" t="n">
        <v>414.0</v>
      </c>
      <c r="B63" t="s">
        <v>957</v>
      </c>
      <c r="C63" t="s">
        <v>958</v>
      </c>
      <c r="D63" t="s">
        <v>959</v>
      </c>
      <c r="E63" s="1">
        <f>HYPERLINK("https://projectreporter.nih.gov/project_info_description.cfm?aid=8461925","Substance Use Among Violently Injured Youth in an Urban ER:  Services and Outcome")</f>
      </c>
      <c r="F63" t="s">
        <v>960</v>
      </c>
      <c r="G63" t="s">
        <v>210</v>
      </c>
      <c r="H63" t="n">
        <v>8461925.0</v>
      </c>
      <c r="I63" t="s">
        <v>961</v>
      </c>
      <c r="J63" t="s">
        <v>962</v>
      </c>
      <c r="K63" s="1">
        <f>HYPERLINK("https://projectreporter.nih.gov/project_info_details.cfm?aid=8461925","5R01DA024646-05")</f>
      </c>
      <c r="L63" t="n">
        <v>5.0</v>
      </c>
      <c r="M63" t="s">
        <v>55</v>
      </c>
      <c r="N63" t="s">
        <v>213</v>
      </c>
      <c r="O63" t="s">
        <v>963</v>
      </c>
      <c r="P63" t="s">
        <v>58</v>
      </c>
      <c r="Q63" t="s">
        <v>0</v>
      </c>
      <c r="R63" t="s">
        <v>535</v>
      </c>
      <c r="S63" t="s">
        <v>964</v>
      </c>
      <c r="T63" t="s">
        <v>965</v>
      </c>
      <c r="U63" t="s">
        <v>966</v>
      </c>
      <c r="V63" t="s">
        <v>0</v>
      </c>
      <c r="W63" t="n">
        <v>6265280.0</v>
      </c>
      <c r="X63" t="s">
        <v>967</v>
      </c>
      <c r="Y63" t="s">
        <v>94</v>
      </c>
      <c r="Z63" t="s">
        <v>116</v>
      </c>
      <c r="AA63" t="s">
        <v>520</v>
      </c>
      <c r="AB63" t="s">
        <v>968</v>
      </c>
      <c r="AC63" t="s">
        <v>68</v>
      </c>
      <c r="AD63" t="n">
        <v>42.244005</v>
      </c>
      <c r="AE63" t="n">
        <v>-83.73915</v>
      </c>
      <c r="AF63" t="s">
        <v>969</v>
      </c>
      <c r="AG63" t="s">
        <v>970</v>
      </c>
      <c r="AH63" t="s">
        <v>971</v>
      </c>
      <c r="AI63" t="s">
        <v>972</v>
      </c>
      <c r="AJ63" t="s">
        <v>101</v>
      </c>
      <c r="AK63" t="s">
        <v>973</v>
      </c>
      <c r="AL63" t="s">
        <v>75</v>
      </c>
      <c r="AM63" t="s">
        <v>76</v>
      </c>
      <c r="AN63" t="s">
        <v>974</v>
      </c>
      <c r="AO63" t="s">
        <v>965</v>
      </c>
      <c r="AP63" t="s">
        <v>227</v>
      </c>
      <c r="AQ63" t="s">
        <v>79</v>
      </c>
      <c r="AR63" t="n">
        <v>2013.0</v>
      </c>
      <c r="AS63" t="s">
        <v>210</v>
      </c>
      <c r="AT63" t="n">
        <v>515294.0</v>
      </c>
      <c r="AU63" t="s">
        <v>0</v>
      </c>
    </row>
    <row r="64">
      <c r="A64" t="n">
        <v>413.0</v>
      </c>
      <c r="B64" t="s">
        <v>975</v>
      </c>
      <c r="C64" t="s">
        <v>976</v>
      </c>
      <c r="D64" t="s">
        <v>977</v>
      </c>
      <c r="E64" s="1">
        <f>HYPERLINK("https://projectreporter.nih.gov/project_info_description.cfm?aid=9796753","The Regulation of Pubertal Onset and Reproductive Development")</f>
      </c>
      <c r="F64" t="s">
        <v>304</v>
      </c>
      <c r="G64" t="s">
        <v>52</v>
      </c>
      <c r="H64" t="n">
        <v>9796753.0</v>
      </c>
      <c r="I64" t="s">
        <v>0</v>
      </c>
      <c r="J64" t="s">
        <v>0</v>
      </c>
      <c r="K64" s="1">
        <f>HYPERLINK("https://projectreporter.nih.gov/project_info_details.cfm?aid=9796753","1ZIAHD008919-07")</f>
      </c>
      <c r="L64" t="n">
        <v>1.0</v>
      </c>
      <c r="M64" t="s">
        <v>978</v>
      </c>
      <c r="N64" t="s">
        <v>56</v>
      </c>
      <c r="O64" t="s">
        <v>979</v>
      </c>
      <c r="P64" t="s">
        <v>137</v>
      </c>
      <c r="Q64" t="s">
        <v>0</v>
      </c>
      <c r="R64" t="s">
        <v>66</v>
      </c>
      <c r="S64" t="s">
        <v>0</v>
      </c>
      <c r="T64" t="s">
        <v>0</v>
      </c>
      <c r="U64" t="s">
        <v>0</v>
      </c>
      <c r="V64" t="s">
        <v>0</v>
      </c>
      <c r="W64" t="n">
        <v>1.1593505E7</v>
      </c>
      <c r="X64" t="s">
        <v>980</v>
      </c>
      <c r="Y64" t="s">
        <v>94</v>
      </c>
      <c r="Z64" t="s">
        <v>304</v>
      </c>
      <c r="AA64" t="s">
        <v>66</v>
      </c>
      <c r="AB64" t="s">
        <v>0</v>
      </c>
      <c r="AC64" t="s">
        <v>0</v>
      </c>
      <c r="AD64" t="s">
        <v>0</v>
      </c>
      <c r="AE64" t="s">
        <v>0</v>
      </c>
      <c r="AF64" t="s">
        <v>0</v>
      </c>
      <c r="AG64" t="s">
        <v>0</v>
      </c>
      <c r="AH64" t="s">
        <v>0</v>
      </c>
      <c r="AI64" t="s">
        <v>0</v>
      </c>
      <c r="AJ64" t="s">
        <v>66</v>
      </c>
      <c r="AK64" t="s">
        <v>0</v>
      </c>
      <c r="AL64" t="s">
        <v>0</v>
      </c>
      <c r="AM64" t="s">
        <v>76</v>
      </c>
      <c r="AN64" t="s">
        <v>0</v>
      </c>
      <c r="AO64" t="s">
        <v>0</v>
      </c>
      <c r="AP64" t="s">
        <v>0</v>
      </c>
      <c r="AQ64" t="s">
        <v>981</v>
      </c>
      <c r="AR64" t="n">
        <v>2018.0</v>
      </c>
      <c r="AS64" t="s">
        <v>52</v>
      </c>
      <c r="AT64" t="n">
        <v>170621.0</v>
      </c>
      <c r="AU64" t="s">
        <v>0</v>
      </c>
    </row>
    <row r="65">
      <c r="A65" t="n">
        <v>413.0</v>
      </c>
      <c r="B65" t="s">
        <v>48</v>
      </c>
      <c r="C65" t="s">
        <v>982</v>
      </c>
      <c r="D65" t="s">
        <v>983</v>
      </c>
      <c r="E65" s="1">
        <f>HYPERLINK("https://projectreporter.nih.gov/project_info_description.cfm?aid=9706892","Management Core")</f>
      </c>
      <c r="F65" t="s">
        <v>304</v>
      </c>
      <c r="G65" t="s">
        <v>52</v>
      </c>
      <c r="H65" t="n">
        <v>9706892.0</v>
      </c>
      <c r="I65" t="s">
        <v>652</v>
      </c>
      <c r="J65" t="s">
        <v>653</v>
      </c>
      <c r="K65" s="1">
        <f>HYPERLINK("https://projectreporter.nih.gov/project_info_details.cfm?aid=9706892","5U19HD089886-04")</f>
      </c>
      <c r="L65" t="n">
        <v>5.0</v>
      </c>
      <c r="M65" t="s">
        <v>654</v>
      </c>
      <c r="N65" t="s">
        <v>56</v>
      </c>
      <c r="O65" t="s">
        <v>655</v>
      </c>
      <c r="P65" t="s">
        <v>274</v>
      </c>
      <c r="Q65" t="s">
        <v>0</v>
      </c>
      <c r="R65" t="s">
        <v>66</v>
      </c>
      <c r="S65" t="s">
        <v>0</v>
      </c>
      <c r="T65" t="s">
        <v>0</v>
      </c>
      <c r="U65" t="s">
        <v>656</v>
      </c>
      <c r="V65" t="n">
        <v>8874.0</v>
      </c>
      <c r="W65" t="n">
        <v>1858937.0</v>
      </c>
      <c r="X65" t="s">
        <v>984</v>
      </c>
      <c r="Y65" t="s">
        <v>94</v>
      </c>
      <c r="Z65" t="s">
        <v>404</v>
      </c>
      <c r="AA65" t="s">
        <v>66</v>
      </c>
      <c r="AB65" t="s">
        <v>405</v>
      </c>
      <c r="AC65" t="s">
        <v>68</v>
      </c>
      <c r="AD65" t="n">
        <v>34.071312</v>
      </c>
      <c r="AE65" t="n">
        <v>-118.443545</v>
      </c>
      <c r="AF65" t="s">
        <v>406</v>
      </c>
      <c r="AG65" t="s">
        <v>407</v>
      </c>
      <c r="AH65" t="s">
        <v>71</v>
      </c>
      <c r="AI65" t="s">
        <v>72</v>
      </c>
      <c r="AJ65" t="s">
        <v>628</v>
      </c>
      <c r="AK65" t="s">
        <v>408</v>
      </c>
      <c r="AL65" t="s">
        <v>75</v>
      </c>
      <c r="AM65" t="s">
        <v>76</v>
      </c>
      <c r="AN65" t="s">
        <v>103</v>
      </c>
      <c r="AO65" t="s">
        <v>104</v>
      </c>
      <c r="AP65" t="s">
        <v>0</v>
      </c>
      <c r="AQ65" t="s">
        <v>79</v>
      </c>
      <c r="AR65" t="n">
        <v>2019.0</v>
      </c>
      <c r="AS65" t="s">
        <v>0</v>
      </c>
      <c r="AT65" t="s">
        <v>0</v>
      </c>
      <c r="AU65" t="n">
        <v>1493124.0</v>
      </c>
    </row>
    <row r="66">
      <c r="A66" t="n">
        <v>409.0</v>
      </c>
      <c r="B66" t="s">
        <v>985</v>
      </c>
      <c r="C66" t="s">
        <v>986</v>
      </c>
      <c r="D66" t="s">
        <v>987</v>
      </c>
      <c r="E66" s="1">
        <f>HYPERLINK("https://projectreporter.nih.gov/project_info_description.cfm?aid=7569960","Family Based Intervention for Adolescent Suicide Attempters")</f>
      </c>
      <c r="F66" t="s">
        <v>304</v>
      </c>
      <c r="G66" t="s">
        <v>83</v>
      </c>
      <c r="H66" t="n">
        <v>7569960.0</v>
      </c>
      <c r="I66" t="s">
        <v>988</v>
      </c>
      <c r="J66" t="s">
        <v>989</v>
      </c>
      <c r="K66" s="1">
        <f>HYPERLINK("https://projectreporter.nih.gov/project_info_details.cfm?aid=7569960","5R34MH078082-03")</f>
      </c>
      <c r="L66" t="n">
        <v>5.0</v>
      </c>
      <c r="M66" t="s">
        <v>589</v>
      </c>
      <c r="N66" t="s">
        <v>86</v>
      </c>
      <c r="O66" t="s">
        <v>990</v>
      </c>
      <c r="P66" t="s">
        <v>182</v>
      </c>
      <c r="Q66" t="s">
        <v>0</v>
      </c>
      <c r="R66" t="s">
        <v>991</v>
      </c>
      <c r="S66" t="s">
        <v>992</v>
      </c>
      <c r="T66" t="s">
        <v>742</v>
      </c>
      <c r="U66" t="s">
        <v>730</v>
      </c>
      <c r="V66" t="s">
        <v>0</v>
      </c>
      <c r="W66" t="n">
        <v>7318157.0</v>
      </c>
      <c r="X66" t="s">
        <v>993</v>
      </c>
      <c r="Y66" t="s">
        <v>94</v>
      </c>
      <c r="Z66" t="s">
        <v>404</v>
      </c>
      <c r="AA66" t="s">
        <v>96</v>
      </c>
      <c r="AB66" t="s">
        <v>405</v>
      </c>
      <c r="AC66" t="s">
        <v>68</v>
      </c>
      <c r="AD66" t="n">
        <v>34.071312</v>
      </c>
      <c r="AE66" t="n">
        <v>-118.443545</v>
      </c>
      <c r="AF66" t="s">
        <v>406</v>
      </c>
      <c r="AG66" t="s">
        <v>407</v>
      </c>
      <c r="AH66" t="s">
        <v>71</v>
      </c>
      <c r="AI66" t="s">
        <v>72</v>
      </c>
      <c r="AJ66" t="s">
        <v>101</v>
      </c>
      <c r="AK66" t="s">
        <v>408</v>
      </c>
      <c r="AL66" t="s">
        <v>75</v>
      </c>
      <c r="AM66" t="s">
        <v>76</v>
      </c>
      <c r="AN66" t="s">
        <v>994</v>
      </c>
      <c r="AO66" t="s">
        <v>742</v>
      </c>
      <c r="AP66" t="s">
        <v>105</v>
      </c>
      <c r="AQ66" t="s">
        <v>79</v>
      </c>
      <c r="AR66" t="n">
        <v>2009.0</v>
      </c>
      <c r="AS66" t="s">
        <v>83</v>
      </c>
      <c r="AT66" t="n">
        <v>208575.0</v>
      </c>
      <c r="AU66" t="s">
        <v>0</v>
      </c>
    </row>
    <row r="67">
      <c r="A67" t="n">
        <v>407.0</v>
      </c>
      <c r="B67" t="s">
        <v>995</v>
      </c>
      <c r="C67" t="s">
        <v>996</v>
      </c>
      <c r="D67" t="s">
        <v>997</v>
      </c>
      <c r="E67" s="1">
        <f>HYPERLINK("https://projectreporter.nih.gov/project_info_description.cfm?aid=8723890","Defining Community for LGBT People with Schizophrenia")</f>
      </c>
      <c r="F67" t="s">
        <v>998</v>
      </c>
      <c r="G67" t="s">
        <v>83</v>
      </c>
      <c r="H67" t="n">
        <v>8723890.0</v>
      </c>
      <c r="I67" t="s">
        <v>999</v>
      </c>
      <c r="J67" t="s">
        <v>1000</v>
      </c>
      <c r="K67" s="1">
        <f>HYPERLINK("https://projectreporter.nih.gov/project_info_details.cfm?aid=8723890","5R03MH100542-02")</f>
      </c>
      <c r="L67" t="n">
        <v>5.0</v>
      </c>
      <c r="M67" t="s">
        <v>445</v>
      </c>
      <c r="N67" t="s">
        <v>86</v>
      </c>
      <c r="O67" t="s">
        <v>1001</v>
      </c>
      <c r="P67" t="s">
        <v>88</v>
      </c>
      <c r="Q67" t="s">
        <v>0</v>
      </c>
      <c r="R67" t="s">
        <v>1002</v>
      </c>
      <c r="S67" t="s">
        <v>1003</v>
      </c>
      <c r="T67" t="s">
        <v>1004</v>
      </c>
      <c r="U67" t="s">
        <v>277</v>
      </c>
      <c r="V67" t="s">
        <v>0</v>
      </c>
      <c r="W67" t="n">
        <v>1.0939537E7</v>
      </c>
      <c r="X67" t="s">
        <v>1005</v>
      </c>
      <c r="Y67" t="s">
        <v>94</v>
      </c>
      <c r="Z67" t="s">
        <v>304</v>
      </c>
      <c r="AA67" t="s">
        <v>66</v>
      </c>
      <c r="AB67" t="s">
        <v>1006</v>
      </c>
      <c r="AC67" t="s">
        <v>72</v>
      </c>
      <c r="AD67" t="n">
        <v>43.70011</v>
      </c>
      <c r="AE67" t="n">
        <v>-79.4163</v>
      </c>
      <c r="AF67" t="s">
        <v>1007</v>
      </c>
      <c r="AG67" t="s">
        <v>1008</v>
      </c>
      <c r="AH67" t="s">
        <v>1009</v>
      </c>
      <c r="AI67" t="s">
        <v>1010</v>
      </c>
      <c r="AJ67" t="s">
        <v>66</v>
      </c>
      <c r="AK67" t="s">
        <v>1011</v>
      </c>
      <c r="AL67" t="s">
        <v>1012</v>
      </c>
      <c r="AM67" t="s">
        <v>76</v>
      </c>
      <c r="AN67" t="s">
        <v>909</v>
      </c>
      <c r="AO67" t="s">
        <v>1004</v>
      </c>
      <c r="AP67" t="s">
        <v>105</v>
      </c>
      <c r="AQ67" t="s">
        <v>79</v>
      </c>
      <c r="AR67" t="n">
        <v>2014.0</v>
      </c>
      <c r="AS67" t="s">
        <v>83</v>
      </c>
      <c r="AT67" t="n">
        <v>52293.0</v>
      </c>
      <c r="AU67" t="s">
        <v>0</v>
      </c>
    </row>
    <row r="68">
      <c r="A68" t="n">
        <v>403.0</v>
      </c>
      <c r="B68" t="s">
        <v>1013</v>
      </c>
      <c r="C68" t="s">
        <v>1014</v>
      </c>
      <c r="D68" t="s">
        <v>1015</v>
      </c>
      <c r="E68" s="1">
        <f>HYPERLINK("https://projectreporter.nih.gov/project_info_description.cfm?aid=9109923","Early Pubertal Timing and Psychosocial Outcomes in Adulthood")</f>
      </c>
      <c r="F68" t="s">
        <v>1016</v>
      </c>
      <c r="G68" t="s">
        <v>52</v>
      </c>
      <c r="H68" t="n">
        <v>9109923.0</v>
      </c>
      <c r="I68" t="s">
        <v>1017</v>
      </c>
      <c r="J68" t="s">
        <v>1018</v>
      </c>
      <c r="K68" s="1">
        <f>HYPERLINK("https://projectreporter.nih.gov/project_info_details.cfm?aid=9109923","1R03HD084711-01A1")</f>
      </c>
      <c r="L68" t="n">
        <v>1.0</v>
      </c>
      <c r="M68" t="s">
        <v>445</v>
      </c>
      <c r="N68" t="s">
        <v>56</v>
      </c>
      <c r="O68" t="s">
        <v>1019</v>
      </c>
      <c r="P68" t="s">
        <v>113</v>
      </c>
      <c r="Q68" t="s">
        <v>236</v>
      </c>
      <c r="R68" t="s">
        <v>431</v>
      </c>
      <c r="S68" t="s">
        <v>1017</v>
      </c>
      <c r="T68" t="s">
        <v>1020</v>
      </c>
      <c r="U68" t="s">
        <v>62</v>
      </c>
      <c r="V68" t="s">
        <v>0</v>
      </c>
      <c r="W68" t="n">
        <v>8077933.0</v>
      </c>
      <c r="X68" t="s">
        <v>1021</v>
      </c>
      <c r="Y68" t="s">
        <v>1022</v>
      </c>
      <c r="Z68" t="s">
        <v>1023</v>
      </c>
      <c r="AA68" t="s">
        <v>800</v>
      </c>
      <c r="AB68" t="s">
        <v>1024</v>
      </c>
      <c r="AC68" t="s">
        <v>68</v>
      </c>
      <c r="AD68" t="n">
        <v>42.434772</v>
      </c>
      <c r="AE68" t="n">
        <v>-76.463216</v>
      </c>
      <c r="AF68" t="s">
        <v>1025</v>
      </c>
      <c r="AG68" t="s">
        <v>1026</v>
      </c>
      <c r="AH68" t="s">
        <v>1027</v>
      </c>
      <c r="AI68" t="s">
        <v>172</v>
      </c>
      <c r="AJ68" t="s">
        <v>376</v>
      </c>
      <c r="AK68" t="s">
        <v>1028</v>
      </c>
      <c r="AL68" t="s">
        <v>75</v>
      </c>
      <c r="AM68" t="s">
        <v>76</v>
      </c>
      <c r="AN68" t="s">
        <v>1017</v>
      </c>
      <c r="AO68" t="s">
        <v>165</v>
      </c>
      <c r="AP68" t="s">
        <v>78</v>
      </c>
      <c r="AQ68" t="s">
        <v>79</v>
      </c>
      <c r="AR68" t="n">
        <v>2016.0</v>
      </c>
      <c r="AS68" t="s">
        <v>52</v>
      </c>
      <c r="AT68" t="n">
        <v>90790.0</v>
      </c>
      <c r="AU68" t="s">
        <v>0</v>
      </c>
    </row>
    <row r="69">
      <c r="A69" t="n">
        <v>403.0</v>
      </c>
      <c r="B69" t="s">
        <v>48</v>
      </c>
      <c r="C69" t="s">
        <v>1029</v>
      </c>
      <c r="D69" t="s">
        <v>1030</v>
      </c>
      <c r="E69" s="1">
        <f>HYPERLINK("https://projectreporter.nih.gov/project_info_description.cfm?aid=9723204","Implementing a Brief Suicide Intervention for High Risk Youth with Front-Line Juvenile Justice Staff")</f>
      </c>
      <c r="F69" t="s">
        <v>1031</v>
      </c>
      <c r="G69" t="s">
        <v>83</v>
      </c>
      <c r="H69" t="n">
        <v>9723204.0</v>
      </c>
      <c r="I69" t="s">
        <v>1032</v>
      </c>
      <c r="J69" t="s">
        <v>1033</v>
      </c>
      <c r="K69" s="1">
        <f>HYPERLINK("https://projectreporter.nih.gov/project_info_details.cfm?aid=9723204","5K23MH111606-04")</f>
      </c>
      <c r="L69" t="n">
        <v>5.0</v>
      </c>
      <c r="M69" t="s">
        <v>710</v>
      </c>
      <c r="N69" t="s">
        <v>86</v>
      </c>
      <c r="O69" t="s">
        <v>1034</v>
      </c>
      <c r="P69" t="s">
        <v>274</v>
      </c>
      <c r="Q69" t="s">
        <v>0</v>
      </c>
      <c r="R69" t="s">
        <v>712</v>
      </c>
      <c r="S69" t="s">
        <v>1035</v>
      </c>
      <c r="T69" t="s">
        <v>104</v>
      </c>
      <c r="U69" t="s">
        <v>260</v>
      </c>
      <c r="V69" t="s">
        <v>0</v>
      </c>
      <c r="W69" t="n">
        <v>1.2018933E7</v>
      </c>
      <c r="X69" t="s">
        <v>667</v>
      </c>
      <c r="Y69" t="s">
        <v>94</v>
      </c>
      <c r="Z69" t="s">
        <v>113</v>
      </c>
      <c r="AA69" t="s">
        <v>66</v>
      </c>
      <c r="AB69" t="s">
        <v>1036</v>
      </c>
      <c r="AC69" t="s">
        <v>68</v>
      </c>
      <c r="AD69" t="n">
        <v>41.811702</v>
      </c>
      <c r="AE69" t="n">
        <v>-71.407162</v>
      </c>
      <c r="AF69" t="s">
        <v>1037</v>
      </c>
      <c r="AG69" t="s">
        <v>1038</v>
      </c>
      <c r="AH69" t="s">
        <v>671</v>
      </c>
      <c r="AI69" t="s">
        <v>672</v>
      </c>
      <c r="AJ69" t="s">
        <v>73</v>
      </c>
      <c r="AK69" t="s">
        <v>1039</v>
      </c>
      <c r="AL69" t="s">
        <v>75</v>
      </c>
      <c r="AM69" t="s">
        <v>76</v>
      </c>
      <c r="AN69" t="s">
        <v>103</v>
      </c>
      <c r="AO69" t="s">
        <v>104</v>
      </c>
      <c r="AP69" t="s">
        <v>105</v>
      </c>
      <c r="AQ69" t="s">
        <v>324</v>
      </c>
      <c r="AR69" t="n">
        <v>2019.0</v>
      </c>
      <c r="AS69" t="s">
        <v>83</v>
      </c>
      <c r="AT69" t="n">
        <v>182151.0</v>
      </c>
      <c r="AU69" t="s">
        <v>0</v>
      </c>
    </row>
    <row r="70">
      <c r="A70" t="n">
        <v>403.0</v>
      </c>
      <c r="B70" t="s">
        <v>1040</v>
      </c>
      <c r="C70" t="s">
        <v>1041</v>
      </c>
      <c r="D70" t="s">
        <v>1042</v>
      </c>
      <c r="E70" s="1">
        <f>HYPERLINK("https://projectreporter.nih.gov/project_info_description.cfm?aid=7324799","Mental Health and Risk in HIV+ Youth and Seroreverters")</f>
      </c>
      <c r="F70" t="s">
        <v>304</v>
      </c>
      <c r="G70" t="s">
        <v>83</v>
      </c>
      <c r="H70" t="n">
        <v>7324799.0</v>
      </c>
      <c r="I70" t="s">
        <v>1043</v>
      </c>
      <c r="J70" t="s">
        <v>0</v>
      </c>
      <c r="K70" s="1">
        <f>HYPERLINK("https://projectreporter.nih.gov/project_info_details.cfm?aid=7324799","5R01MH069133-05")</f>
      </c>
      <c r="L70" t="n">
        <v>5.0</v>
      </c>
      <c r="M70" t="s">
        <v>55</v>
      </c>
      <c r="N70" t="s">
        <v>86</v>
      </c>
      <c r="O70" t="s">
        <v>1044</v>
      </c>
      <c r="P70" t="s">
        <v>58</v>
      </c>
      <c r="Q70" t="s">
        <v>0</v>
      </c>
      <c r="R70" t="s">
        <v>1045</v>
      </c>
      <c r="S70" t="s">
        <v>1046</v>
      </c>
      <c r="T70" t="s">
        <v>1047</v>
      </c>
      <c r="U70" t="s">
        <v>931</v>
      </c>
      <c r="V70" t="s">
        <v>0</v>
      </c>
      <c r="W70" t="n">
        <v>8188389.0</v>
      </c>
      <c r="X70" t="s">
        <v>1048</v>
      </c>
      <c r="Y70" t="s">
        <v>94</v>
      </c>
      <c r="Z70" t="s">
        <v>280</v>
      </c>
      <c r="AA70" t="s">
        <v>66</v>
      </c>
      <c r="AB70" t="s">
        <v>1049</v>
      </c>
      <c r="AC70" t="s">
        <v>68</v>
      </c>
      <c r="AD70" t="n">
        <v>40.842455</v>
      </c>
      <c r="AE70" t="n">
        <v>-73.944838</v>
      </c>
      <c r="AF70" t="s">
        <v>297</v>
      </c>
      <c r="AG70" t="s">
        <v>298</v>
      </c>
      <c r="AH70" t="s">
        <v>171</v>
      </c>
      <c r="AI70" t="s">
        <v>172</v>
      </c>
      <c r="AJ70" t="s">
        <v>73</v>
      </c>
      <c r="AK70" t="s">
        <v>299</v>
      </c>
      <c r="AL70" t="s">
        <v>75</v>
      </c>
      <c r="AM70" t="s">
        <v>76</v>
      </c>
      <c r="AN70" t="s">
        <v>1050</v>
      </c>
      <c r="AO70" t="s">
        <v>1047</v>
      </c>
      <c r="AP70" t="s">
        <v>105</v>
      </c>
      <c r="AQ70" t="s">
        <v>79</v>
      </c>
      <c r="AR70" t="n">
        <v>2008.0</v>
      </c>
      <c r="AS70" t="s">
        <v>83</v>
      </c>
      <c r="AT70" t="n">
        <v>540250.0</v>
      </c>
      <c r="AU70" t="s">
        <v>0</v>
      </c>
    </row>
    <row r="71">
      <c r="A71" t="n">
        <v>401.0</v>
      </c>
      <c r="B71" t="s">
        <v>1051</v>
      </c>
      <c r="C71" t="s">
        <v>1052</v>
      </c>
      <c r="D71" t="s">
        <v>1053</v>
      </c>
      <c r="E71" s="1">
        <f>HYPERLINK("https://projectreporter.nih.gov/project_info_description.cfm?aid=8659990","Addressing Health Disparities among Transgender Women")</f>
      </c>
      <c r="F71" t="s">
        <v>1054</v>
      </c>
      <c r="G71" t="s">
        <v>83</v>
      </c>
      <c r="H71" t="n">
        <v>8659990.0</v>
      </c>
      <c r="I71" t="s">
        <v>1055</v>
      </c>
      <c r="J71" t="s">
        <v>1056</v>
      </c>
      <c r="K71" s="1">
        <f>HYPERLINK("https://projectreporter.nih.gov/project_info_details.cfm?aid=8659990","1K01MH102142-01A1")</f>
      </c>
      <c r="L71" t="n">
        <v>1.0</v>
      </c>
      <c r="M71" t="s">
        <v>1057</v>
      </c>
      <c r="N71" t="s">
        <v>86</v>
      </c>
      <c r="O71" t="s">
        <v>1058</v>
      </c>
      <c r="P71" t="s">
        <v>113</v>
      </c>
      <c r="Q71" t="s">
        <v>236</v>
      </c>
      <c r="R71" t="s">
        <v>1059</v>
      </c>
      <c r="S71" t="s">
        <v>909</v>
      </c>
      <c r="T71" t="s">
        <v>1060</v>
      </c>
      <c r="U71" t="s">
        <v>931</v>
      </c>
      <c r="V71" t="s">
        <v>0</v>
      </c>
      <c r="W71" t="n">
        <v>1.4308347E7</v>
      </c>
      <c r="X71" t="s">
        <v>1061</v>
      </c>
      <c r="Y71" t="s">
        <v>94</v>
      </c>
      <c r="Z71" t="s">
        <v>116</v>
      </c>
      <c r="AA71" t="s">
        <v>1062</v>
      </c>
      <c r="AB71" t="s">
        <v>1063</v>
      </c>
      <c r="AC71" t="s">
        <v>68</v>
      </c>
      <c r="AD71" t="n">
        <v>37.786097</v>
      </c>
      <c r="AE71" t="n">
        <v>-122.448391</v>
      </c>
      <c r="AF71" t="s">
        <v>119</v>
      </c>
      <c r="AG71" t="s">
        <v>120</v>
      </c>
      <c r="AH71" t="s">
        <v>121</v>
      </c>
      <c r="AI71" t="s">
        <v>72</v>
      </c>
      <c r="AJ71" t="s">
        <v>101</v>
      </c>
      <c r="AK71" t="s">
        <v>122</v>
      </c>
      <c r="AL71" t="s">
        <v>75</v>
      </c>
      <c r="AM71" t="s">
        <v>76</v>
      </c>
      <c r="AN71" t="s">
        <v>909</v>
      </c>
      <c r="AO71" t="s">
        <v>910</v>
      </c>
      <c r="AP71" t="s">
        <v>105</v>
      </c>
      <c r="AQ71" t="s">
        <v>324</v>
      </c>
      <c r="AR71" t="n">
        <v>2014.0</v>
      </c>
      <c r="AS71" t="s">
        <v>83</v>
      </c>
      <c r="AT71" t="n">
        <v>182674.0</v>
      </c>
      <c r="AU71" t="s">
        <v>0</v>
      </c>
    </row>
    <row r="72">
      <c r="A72" t="n">
        <v>400.0</v>
      </c>
      <c r="B72" t="s">
        <v>48</v>
      </c>
      <c r="C72" t="s">
        <v>1064</v>
      </c>
      <c r="D72" t="s">
        <v>1065</v>
      </c>
      <c r="E72" s="1">
        <f>HYPERLINK("https://projectreporter.nih.gov/project_info_description.cfm?aid=9812297","Partner Violence in Transgender Populations: Context, Risk, and Health Impact")</f>
      </c>
      <c r="F72" t="s">
        <v>1066</v>
      </c>
      <c r="G72" t="s">
        <v>52</v>
      </c>
      <c r="H72" t="n">
        <v>9812297.0</v>
      </c>
      <c r="I72" t="s">
        <v>1067</v>
      </c>
      <c r="J72" t="s">
        <v>606</v>
      </c>
      <c r="K72" s="1">
        <f>HYPERLINK("https://projectreporter.nih.gov/project_info_details.cfm?aid=9812297","1R21HD097234-01A1")</f>
      </c>
      <c r="L72" t="n">
        <v>1.0</v>
      </c>
      <c r="M72" t="s">
        <v>130</v>
      </c>
      <c r="N72" t="s">
        <v>56</v>
      </c>
      <c r="O72" t="s">
        <v>1068</v>
      </c>
      <c r="P72" t="s">
        <v>113</v>
      </c>
      <c r="Q72" t="s">
        <v>236</v>
      </c>
      <c r="R72" t="s">
        <v>151</v>
      </c>
      <c r="S72" t="s">
        <v>205</v>
      </c>
      <c r="T72" t="s">
        <v>1069</v>
      </c>
      <c r="U72" t="s">
        <v>277</v>
      </c>
      <c r="V72" t="s">
        <v>0</v>
      </c>
      <c r="W72" t="n">
        <v>8258948.0</v>
      </c>
      <c r="X72" t="s">
        <v>1070</v>
      </c>
      <c r="Y72" t="s">
        <v>1071</v>
      </c>
      <c r="Z72" t="s">
        <v>116</v>
      </c>
      <c r="AA72" t="s">
        <v>436</v>
      </c>
      <c r="AB72" t="s">
        <v>968</v>
      </c>
      <c r="AC72" t="s">
        <v>68</v>
      </c>
      <c r="AD72" t="n">
        <v>42.244005</v>
      </c>
      <c r="AE72" t="n">
        <v>-83.73915</v>
      </c>
      <c r="AF72" t="s">
        <v>969</v>
      </c>
      <c r="AG72" t="s">
        <v>970</v>
      </c>
      <c r="AH72" t="s">
        <v>971</v>
      </c>
      <c r="AI72" t="s">
        <v>972</v>
      </c>
      <c r="AJ72" t="s">
        <v>486</v>
      </c>
      <c r="AK72" t="s">
        <v>973</v>
      </c>
      <c r="AL72" t="s">
        <v>75</v>
      </c>
      <c r="AM72" t="s">
        <v>76</v>
      </c>
      <c r="AN72" t="s">
        <v>205</v>
      </c>
      <c r="AO72" t="s">
        <v>204</v>
      </c>
      <c r="AP72" t="s">
        <v>78</v>
      </c>
      <c r="AQ72" t="s">
        <v>79</v>
      </c>
      <c r="AR72" t="n">
        <v>2019.0</v>
      </c>
      <c r="AS72" t="s">
        <v>52</v>
      </c>
      <c r="AT72" t="n">
        <v>234000.0</v>
      </c>
      <c r="AU72" t="s">
        <v>0</v>
      </c>
    </row>
    <row r="73">
      <c r="A73" t="n">
        <v>399.0</v>
      </c>
      <c r="B73" t="s">
        <v>1072</v>
      </c>
      <c r="C73" t="s">
        <v>1073</v>
      </c>
      <c r="D73" t="s">
        <v>1074</v>
      </c>
      <c r="E73" s="1">
        <f>HYPERLINK("https://projectreporter.nih.gov/project_info_description.cfm?aid=9121376","Effects of a single-session implicit theories of personality intervention on recovery from social stress and long-term psychological functioning in early adolescents.")</f>
      </c>
      <c r="F73" t="s">
        <v>1075</v>
      </c>
      <c r="G73" t="s">
        <v>83</v>
      </c>
      <c r="H73" t="n">
        <v>9121376.0</v>
      </c>
      <c r="I73" t="s">
        <v>1076</v>
      </c>
      <c r="J73" t="s">
        <v>365</v>
      </c>
      <c r="K73" s="1">
        <f>HYPERLINK("https://projectreporter.nih.gov/project_info_details.cfm?aid=9121376","5F31MH108280-02")</f>
      </c>
      <c r="L73" t="n">
        <v>5.0</v>
      </c>
      <c r="M73" t="s">
        <v>366</v>
      </c>
      <c r="N73" t="s">
        <v>86</v>
      </c>
      <c r="O73" t="s">
        <v>1077</v>
      </c>
      <c r="P73" t="s">
        <v>88</v>
      </c>
      <c r="Q73" t="s">
        <v>0</v>
      </c>
      <c r="R73" t="s">
        <v>712</v>
      </c>
      <c r="S73" t="s">
        <v>60</v>
      </c>
      <c r="T73" t="s">
        <v>1060</v>
      </c>
      <c r="U73" t="s">
        <v>1078</v>
      </c>
      <c r="V73" t="s">
        <v>0</v>
      </c>
      <c r="W73" t="n">
        <v>1.2394875E7</v>
      </c>
      <c r="X73" t="s">
        <v>1079</v>
      </c>
      <c r="Y73" t="s">
        <v>94</v>
      </c>
      <c r="Z73" t="s">
        <v>58</v>
      </c>
      <c r="AA73" t="s">
        <v>167</v>
      </c>
      <c r="AB73" t="s">
        <v>1080</v>
      </c>
      <c r="AC73" t="s">
        <v>68</v>
      </c>
      <c r="AD73" t="n">
        <v>42.373148</v>
      </c>
      <c r="AE73" t="n">
        <v>-71.118329</v>
      </c>
      <c r="AF73" t="s">
        <v>1081</v>
      </c>
      <c r="AG73" t="s">
        <v>1082</v>
      </c>
      <c r="AH73" t="s">
        <v>1083</v>
      </c>
      <c r="AI73" t="s">
        <v>246</v>
      </c>
      <c r="AJ73" t="s">
        <v>267</v>
      </c>
      <c r="AK73" t="s">
        <v>1084</v>
      </c>
      <c r="AL73" t="s">
        <v>75</v>
      </c>
      <c r="AM73" t="s">
        <v>76</v>
      </c>
      <c r="AN73" t="s">
        <v>770</v>
      </c>
      <c r="AO73" t="s">
        <v>1060</v>
      </c>
      <c r="AP73" t="s">
        <v>105</v>
      </c>
      <c r="AQ73" t="s">
        <v>123</v>
      </c>
      <c r="AR73" t="n">
        <v>2016.0</v>
      </c>
      <c r="AS73" t="s">
        <v>83</v>
      </c>
      <c r="AT73" t="n">
        <v>31358.0</v>
      </c>
      <c r="AU73" t="s">
        <v>0</v>
      </c>
    </row>
    <row r="74">
      <c r="A74" t="n">
        <v>398.0</v>
      </c>
      <c r="B74" t="s">
        <v>1085</v>
      </c>
      <c r="C74" t="s">
        <v>1086</v>
      </c>
      <c r="D74" t="s">
        <v>1087</v>
      </c>
      <c r="E74" s="1">
        <f>HYPERLINK("https://projectreporter.nih.gov/project_info_description.cfm?aid=8246505","Integrative Data Analysis of Gender and Ethnic Differences in MDFT RCTs")</f>
      </c>
      <c r="F74" t="s">
        <v>1088</v>
      </c>
      <c r="G74" t="s">
        <v>210</v>
      </c>
      <c r="H74" t="n">
        <v>8246505.0</v>
      </c>
      <c r="I74" t="s">
        <v>1089</v>
      </c>
      <c r="J74" t="s">
        <v>1090</v>
      </c>
      <c r="K74" s="1">
        <f>HYPERLINK("https://projectreporter.nih.gov/project_info_details.cfm?aid=8246505","5R01DA029089-03")</f>
      </c>
      <c r="L74" t="n">
        <v>5.0</v>
      </c>
      <c r="M74" t="s">
        <v>55</v>
      </c>
      <c r="N74" t="s">
        <v>213</v>
      </c>
      <c r="O74" t="s">
        <v>1091</v>
      </c>
      <c r="P74" t="s">
        <v>182</v>
      </c>
      <c r="Q74" t="s">
        <v>0</v>
      </c>
      <c r="R74" t="s">
        <v>701</v>
      </c>
      <c r="S74" t="s">
        <v>1092</v>
      </c>
      <c r="T74" t="s">
        <v>1093</v>
      </c>
      <c r="U74" t="s">
        <v>1094</v>
      </c>
      <c r="V74" t="s">
        <v>0</v>
      </c>
      <c r="W74" t="n">
        <v>9929060.0</v>
      </c>
      <c r="X74" t="s">
        <v>1095</v>
      </c>
      <c r="Y74" t="s">
        <v>1096</v>
      </c>
      <c r="Z74" t="s">
        <v>785</v>
      </c>
      <c r="AA74" t="s">
        <v>167</v>
      </c>
      <c r="AB74" t="s">
        <v>1097</v>
      </c>
      <c r="AC74" t="s">
        <v>68</v>
      </c>
      <c r="AD74" t="n">
        <v>30.714911</v>
      </c>
      <c r="AE74" t="n">
        <v>-95.549631</v>
      </c>
      <c r="AF74" t="s">
        <v>1098</v>
      </c>
      <c r="AG74" t="s">
        <v>1099</v>
      </c>
      <c r="AH74" t="s">
        <v>1100</v>
      </c>
      <c r="AI74" t="s">
        <v>457</v>
      </c>
      <c r="AJ74" t="s">
        <v>267</v>
      </c>
      <c r="AK74" t="s">
        <v>1101</v>
      </c>
      <c r="AL74" t="s">
        <v>75</v>
      </c>
      <c r="AM74" t="s">
        <v>76</v>
      </c>
      <c r="AN74" t="s">
        <v>729</v>
      </c>
      <c r="AO74" t="s">
        <v>1093</v>
      </c>
      <c r="AP74" t="s">
        <v>227</v>
      </c>
      <c r="AQ74" t="s">
        <v>79</v>
      </c>
      <c r="AR74" t="n">
        <v>2012.0</v>
      </c>
      <c r="AS74" t="s">
        <v>210</v>
      </c>
      <c r="AT74" t="n">
        <v>302299.0</v>
      </c>
      <c r="AU74" t="s">
        <v>0</v>
      </c>
    </row>
    <row r="75">
      <c r="A75" t="n">
        <v>398.0</v>
      </c>
      <c r="B75" t="s">
        <v>1102</v>
      </c>
      <c r="C75" t="s">
        <v>1103</v>
      </c>
      <c r="D75" t="s">
        <v>1104</v>
      </c>
      <c r="E75" s="1">
        <f>HYPERLINK("https://projectreporter.nih.gov/project_info_description.cfm?aid=8554296","Glottal Physiology and Gender Perception of Transgender Speakers")</f>
      </c>
      <c r="F75" t="s">
        <v>1105</v>
      </c>
      <c r="G75" t="s">
        <v>1106</v>
      </c>
      <c r="H75" t="n">
        <v>8554296.0</v>
      </c>
      <c r="I75" t="s">
        <v>1003</v>
      </c>
      <c r="J75" t="s">
        <v>1107</v>
      </c>
      <c r="K75" s="1">
        <f>HYPERLINK("https://projectreporter.nih.gov/project_info_details.cfm?aid=8554296","5R03DC012134-02")</f>
      </c>
      <c r="L75" t="n">
        <v>5.0</v>
      </c>
      <c r="M75" t="s">
        <v>445</v>
      </c>
      <c r="N75" t="s">
        <v>1108</v>
      </c>
      <c r="O75" t="s">
        <v>1109</v>
      </c>
      <c r="P75" t="s">
        <v>88</v>
      </c>
      <c r="Q75" t="s">
        <v>0</v>
      </c>
      <c r="R75" t="s">
        <v>1110</v>
      </c>
      <c r="S75" t="s">
        <v>1111</v>
      </c>
      <c r="T75" t="s">
        <v>1112</v>
      </c>
      <c r="U75" t="s">
        <v>1113</v>
      </c>
      <c r="V75" t="s">
        <v>0</v>
      </c>
      <c r="W75" t="n">
        <v>1.0054605E7</v>
      </c>
      <c r="X75" t="s">
        <v>1114</v>
      </c>
      <c r="Y75" t="s">
        <v>94</v>
      </c>
      <c r="Z75" t="s">
        <v>611</v>
      </c>
      <c r="AA75" t="s">
        <v>800</v>
      </c>
      <c r="AB75" t="s">
        <v>1115</v>
      </c>
      <c r="AC75" t="s">
        <v>68</v>
      </c>
      <c r="AD75" t="n">
        <v>38.900126</v>
      </c>
      <c r="AE75" t="n">
        <v>-77.046981</v>
      </c>
      <c r="AF75" t="s">
        <v>1116</v>
      </c>
      <c r="AG75" t="s">
        <v>1117</v>
      </c>
      <c r="AH75" t="s">
        <v>1118</v>
      </c>
      <c r="AI75" t="s">
        <v>1108</v>
      </c>
      <c r="AJ75" t="s">
        <v>267</v>
      </c>
      <c r="AK75" t="s">
        <v>1119</v>
      </c>
      <c r="AL75" t="s">
        <v>75</v>
      </c>
      <c r="AM75" t="s">
        <v>76</v>
      </c>
      <c r="AN75" t="s">
        <v>1120</v>
      </c>
      <c r="AO75" t="s">
        <v>1112</v>
      </c>
      <c r="AP75" t="s">
        <v>1121</v>
      </c>
      <c r="AQ75" t="s">
        <v>79</v>
      </c>
      <c r="AR75" t="n">
        <v>2013.0</v>
      </c>
      <c r="AS75" t="s">
        <v>1106</v>
      </c>
      <c r="AT75" t="n">
        <v>144875.0</v>
      </c>
      <c r="AU75" t="s">
        <v>0</v>
      </c>
    </row>
    <row r="76">
      <c r="A76" t="n">
        <v>396.0</v>
      </c>
      <c r="B76" t="s">
        <v>48</v>
      </c>
      <c r="C76" t="s">
        <v>1122</v>
      </c>
      <c r="D76" t="s">
        <v>1123</v>
      </c>
      <c r="E76" s="1">
        <f>HYPERLINK("https://projectreporter.nih.gov/project_info_description.cfm?aid=9745694","Study 3: Guide2Brite")</f>
      </c>
      <c r="F76" t="s">
        <v>304</v>
      </c>
      <c r="G76" t="s">
        <v>83</v>
      </c>
      <c r="H76" t="n">
        <v>9745694.0</v>
      </c>
      <c r="I76" t="s">
        <v>856</v>
      </c>
      <c r="J76" t="s">
        <v>1124</v>
      </c>
      <c r="K76" s="1">
        <f>HYPERLINK("https://projectreporter.nih.gov/project_info_details.cfm?aid=9745694","5P50MH115838-02")</f>
      </c>
      <c r="L76" t="n">
        <v>5.0</v>
      </c>
      <c r="M76" t="s">
        <v>622</v>
      </c>
      <c r="N76" t="s">
        <v>86</v>
      </c>
      <c r="O76" t="s">
        <v>1125</v>
      </c>
      <c r="P76" t="s">
        <v>88</v>
      </c>
      <c r="Q76" t="s">
        <v>0</v>
      </c>
      <c r="R76" t="s">
        <v>66</v>
      </c>
      <c r="S76" t="s">
        <v>0</v>
      </c>
      <c r="T76" t="s">
        <v>0</v>
      </c>
      <c r="U76" t="s">
        <v>1126</v>
      </c>
      <c r="V76" t="n">
        <v>7399.0</v>
      </c>
      <c r="W76" t="n">
        <v>9108625.0</v>
      </c>
      <c r="X76" t="s">
        <v>1127</v>
      </c>
      <c r="Y76" t="s">
        <v>94</v>
      </c>
      <c r="Z76" t="s">
        <v>95</v>
      </c>
      <c r="AA76" t="s">
        <v>66</v>
      </c>
      <c r="AB76" t="s">
        <v>220</v>
      </c>
      <c r="AC76" t="s">
        <v>68</v>
      </c>
      <c r="AD76" t="n">
        <v>40.444095</v>
      </c>
      <c r="AE76" t="n">
        <v>-79.956899</v>
      </c>
      <c r="AF76" t="s">
        <v>221</v>
      </c>
      <c r="AG76" t="s">
        <v>222</v>
      </c>
      <c r="AH76" t="s">
        <v>223</v>
      </c>
      <c r="AI76" t="s">
        <v>224</v>
      </c>
      <c r="AJ76" t="s">
        <v>628</v>
      </c>
      <c r="AK76" t="s">
        <v>225</v>
      </c>
      <c r="AL76" t="s">
        <v>75</v>
      </c>
      <c r="AM76" t="s">
        <v>76</v>
      </c>
      <c r="AN76" t="s">
        <v>835</v>
      </c>
      <c r="AO76" t="s">
        <v>518</v>
      </c>
      <c r="AP76" t="s">
        <v>0</v>
      </c>
      <c r="AQ76" t="s">
        <v>630</v>
      </c>
      <c r="AR76" t="n">
        <v>2019.0</v>
      </c>
      <c r="AS76" t="s">
        <v>0</v>
      </c>
      <c r="AT76" t="s">
        <v>0</v>
      </c>
      <c r="AU76" t="n">
        <v>104974.0</v>
      </c>
    </row>
    <row r="77">
      <c r="A77" t="n">
        <v>395.0</v>
      </c>
      <c r="B77" t="s">
        <v>1128</v>
      </c>
      <c r="C77" t="s">
        <v>1129</v>
      </c>
      <c r="D77" t="s">
        <v>1130</v>
      </c>
      <c r="E77" s="1">
        <f>HYPERLINK("https://projectreporter.nih.gov/project_info_description.cfm?aid=8686625","Social Patterns and Pathways of HIV Care among HIV Positive Transgender Women")</f>
      </c>
      <c r="F77" t="s">
        <v>1131</v>
      </c>
      <c r="G77" t="s">
        <v>566</v>
      </c>
      <c r="H77" t="n">
        <v>8686625.0</v>
      </c>
      <c r="I77" t="s">
        <v>1132</v>
      </c>
      <c r="J77" t="s">
        <v>1133</v>
      </c>
      <c r="K77" s="1">
        <f>HYPERLINK("https://projectreporter.nih.gov/project_info_details.cfm?aid=8686625","5F31NR013864-03")</f>
      </c>
      <c r="L77" t="n">
        <v>5.0</v>
      </c>
      <c r="M77" t="s">
        <v>366</v>
      </c>
      <c r="N77" t="s">
        <v>569</v>
      </c>
      <c r="O77" t="s">
        <v>1134</v>
      </c>
      <c r="P77" t="s">
        <v>182</v>
      </c>
      <c r="Q77" t="s">
        <v>0</v>
      </c>
      <c r="R77" t="s">
        <v>571</v>
      </c>
      <c r="S77" t="s">
        <v>1135</v>
      </c>
      <c r="T77" t="s">
        <v>1136</v>
      </c>
      <c r="U77" t="s">
        <v>468</v>
      </c>
      <c r="V77" t="s">
        <v>0</v>
      </c>
      <c r="W77" t="n">
        <v>1.0482569E7</v>
      </c>
      <c r="X77" t="s">
        <v>1137</v>
      </c>
      <c r="Y77" t="s">
        <v>94</v>
      </c>
      <c r="Z77" t="s">
        <v>137</v>
      </c>
      <c r="AA77" t="s">
        <v>436</v>
      </c>
      <c r="AB77" t="s">
        <v>1138</v>
      </c>
      <c r="AC77" t="s">
        <v>68</v>
      </c>
      <c r="AD77" t="n">
        <v>39.784116</v>
      </c>
      <c r="AE77" t="n">
        <v>-86.163335</v>
      </c>
      <c r="AF77" t="s">
        <v>1139</v>
      </c>
      <c r="AG77" t="s">
        <v>1140</v>
      </c>
      <c r="AH77" t="s">
        <v>1141</v>
      </c>
      <c r="AI77" t="s">
        <v>1142</v>
      </c>
      <c r="AJ77" t="s">
        <v>486</v>
      </c>
      <c r="AK77" t="s">
        <v>1143</v>
      </c>
      <c r="AL77" t="s">
        <v>75</v>
      </c>
      <c r="AM77" t="s">
        <v>76</v>
      </c>
      <c r="AN77" t="s">
        <v>999</v>
      </c>
      <c r="AO77" t="s">
        <v>1136</v>
      </c>
      <c r="AP77" t="s">
        <v>582</v>
      </c>
      <c r="AQ77" t="s">
        <v>123</v>
      </c>
      <c r="AR77" t="n">
        <v>2014.0</v>
      </c>
      <c r="AS77" t="s">
        <v>566</v>
      </c>
      <c r="AT77" t="n">
        <v>31852.0</v>
      </c>
      <c r="AU77" t="s">
        <v>0</v>
      </c>
    </row>
    <row r="78">
      <c r="A78" t="n">
        <v>393.0</v>
      </c>
      <c r="B78" t="s">
        <v>48</v>
      </c>
      <c r="C78" t="s">
        <v>1144</v>
      </c>
      <c r="D78" t="s">
        <v>1145</v>
      </c>
      <c r="E78" s="1">
        <f>HYPERLINK("https://projectreporter.nih.gov/project_info_description.cfm?aid=9760277","Predicting adverse outcomes among sexual minorities and heterosexuals from a prospective study of adolescent health and wellbeing")</f>
      </c>
      <c r="F78" t="s">
        <v>1146</v>
      </c>
      <c r="G78" t="s">
        <v>305</v>
      </c>
      <c r="H78" t="n">
        <v>9760277.0</v>
      </c>
      <c r="I78" t="s">
        <v>1147</v>
      </c>
      <c r="J78" t="s">
        <v>1148</v>
      </c>
      <c r="K78" s="1">
        <f>HYPERLINK("https://projectreporter.nih.gov/project_info_details.cfm?aid=9760277","1F31MD014052-01")</f>
      </c>
      <c r="L78" t="n">
        <v>1.0</v>
      </c>
      <c r="M78" t="s">
        <v>366</v>
      </c>
      <c r="N78" t="s">
        <v>309</v>
      </c>
      <c r="O78" t="s">
        <v>1149</v>
      </c>
      <c r="P78" t="s">
        <v>113</v>
      </c>
      <c r="Q78" t="s">
        <v>0</v>
      </c>
      <c r="R78" t="s">
        <v>1150</v>
      </c>
      <c r="S78" t="s">
        <v>835</v>
      </c>
      <c r="T78" t="s">
        <v>1151</v>
      </c>
      <c r="U78" t="s">
        <v>369</v>
      </c>
      <c r="V78" t="s">
        <v>0</v>
      </c>
      <c r="W78" t="n">
        <v>1.5593124E7</v>
      </c>
      <c r="X78" t="s">
        <v>1152</v>
      </c>
      <c r="Y78" t="s">
        <v>94</v>
      </c>
      <c r="Z78" t="s">
        <v>182</v>
      </c>
      <c r="AA78" t="s">
        <v>167</v>
      </c>
      <c r="AB78" t="s">
        <v>1153</v>
      </c>
      <c r="AC78" t="s">
        <v>68</v>
      </c>
      <c r="AD78" t="n">
        <v>39.999598</v>
      </c>
      <c r="AE78" t="n">
        <v>-83.033131</v>
      </c>
      <c r="AF78" t="s">
        <v>1154</v>
      </c>
      <c r="AG78" t="s">
        <v>1155</v>
      </c>
      <c r="AH78" t="s">
        <v>1156</v>
      </c>
      <c r="AI78" t="s">
        <v>1157</v>
      </c>
      <c r="AJ78" t="s">
        <v>376</v>
      </c>
      <c r="AK78" t="s">
        <v>1158</v>
      </c>
      <c r="AL78" t="s">
        <v>75</v>
      </c>
      <c r="AM78" t="s">
        <v>76</v>
      </c>
      <c r="AN78" t="s">
        <v>835</v>
      </c>
      <c r="AO78" t="s">
        <v>518</v>
      </c>
      <c r="AP78" t="s">
        <v>323</v>
      </c>
      <c r="AQ78" t="s">
        <v>123</v>
      </c>
      <c r="AR78" t="n">
        <v>2019.0</v>
      </c>
      <c r="AS78" t="s">
        <v>305</v>
      </c>
      <c r="AT78" t="n">
        <v>31516.0</v>
      </c>
      <c r="AU78" t="s">
        <v>0</v>
      </c>
    </row>
    <row r="79">
      <c r="A79" t="n">
        <v>393.0</v>
      </c>
      <c r="B79" t="s">
        <v>1159</v>
      </c>
      <c r="C79" t="s">
        <v>1160</v>
      </c>
      <c r="D79" t="s">
        <v>1161</v>
      </c>
      <c r="E79" s="1">
        <f>HYPERLINK("https://projectreporter.nih.gov/project_info_description.cfm?aid=9439306","Transwomen Connected, a mobile app delivered HIV prevention program")</f>
      </c>
      <c r="F79" t="s">
        <v>1162</v>
      </c>
      <c r="G79" t="s">
        <v>305</v>
      </c>
      <c r="H79" t="n">
        <v>9439306.0</v>
      </c>
      <c r="I79" t="s">
        <v>1163</v>
      </c>
      <c r="J79" t="s">
        <v>1164</v>
      </c>
      <c r="K79" s="1">
        <f>HYPERLINK("https://projectreporter.nih.gov/project_info_details.cfm?aid=9439306","1R43MD012279-01")</f>
      </c>
      <c r="L79" t="n">
        <v>1.0</v>
      </c>
      <c r="M79" t="s">
        <v>1165</v>
      </c>
      <c r="N79" t="s">
        <v>309</v>
      </c>
      <c r="O79" t="s">
        <v>1166</v>
      </c>
      <c r="P79" t="s">
        <v>113</v>
      </c>
      <c r="Q79" t="s">
        <v>0</v>
      </c>
      <c r="R79" t="s">
        <v>516</v>
      </c>
      <c r="S79" t="s">
        <v>1163</v>
      </c>
      <c r="T79" t="s">
        <v>537</v>
      </c>
      <c r="U79" t="s">
        <v>1167</v>
      </c>
      <c r="V79" t="s">
        <v>0</v>
      </c>
      <c r="W79" t="n">
        <v>8712017.0</v>
      </c>
      <c r="X79" t="s">
        <v>1168</v>
      </c>
      <c r="Y79" t="s">
        <v>1169</v>
      </c>
      <c r="Z79" t="s">
        <v>280</v>
      </c>
      <c r="AA79" t="s">
        <v>66</v>
      </c>
      <c r="AB79" t="s">
        <v>1170</v>
      </c>
      <c r="AC79" t="s">
        <v>68</v>
      </c>
      <c r="AD79" t="n">
        <v>37.0494</v>
      </c>
      <c r="AE79" t="n">
        <v>-122.01413</v>
      </c>
      <c r="AF79" t="s">
        <v>1171</v>
      </c>
      <c r="AG79" t="s">
        <v>1172</v>
      </c>
      <c r="AH79" t="s">
        <v>284</v>
      </c>
      <c r="AI79" t="s">
        <v>72</v>
      </c>
      <c r="AJ79" t="s">
        <v>1173</v>
      </c>
      <c r="AK79" t="s">
        <v>1174</v>
      </c>
      <c r="AL79" t="s">
        <v>75</v>
      </c>
      <c r="AM79" t="s">
        <v>76</v>
      </c>
      <c r="AN79" t="s">
        <v>1163</v>
      </c>
      <c r="AO79" t="s">
        <v>537</v>
      </c>
      <c r="AP79" t="s">
        <v>323</v>
      </c>
      <c r="AQ79" t="s">
        <v>1175</v>
      </c>
      <c r="AR79" t="n">
        <v>2017.0</v>
      </c>
      <c r="AS79" t="s">
        <v>305</v>
      </c>
      <c r="AT79" t="n">
        <v>224972.0</v>
      </c>
      <c r="AU79" t="s">
        <v>0</v>
      </c>
    </row>
    <row r="80">
      <c r="A80" t="n">
        <v>392.0</v>
      </c>
      <c r="B80" t="s">
        <v>1176</v>
      </c>
      <c r="C80" t="s">
        <v>1177</v>
      </c>
      <c r="D80" t="s">
        <v>1178</v>
      </c>
      <c r="E80" s="1">
        <f>HYPERLINK("https://projectreporter.nih.gov/project_info_description.cfm?aid=9787670","Social convoys, cognitive reserve, and resilience across the lifespan")</f>
      </c>
      <c r="F80" t="s">
        <v>1179</v>
      </c>
      <c r="G80" t="s">
        <v>473</v>
      </c>
      <c r="H80" t="n">
        <v>9787670.0</v>
      </c>
      <c r="I80" t="s">
        <v>203</v>
      </c>
      <c r="J80" t="s">
        <v>1180</v>
      </c>
      <c r="K80" s="1">
        <f>HYPERLINK("https://projectreporter.nih.gov/project_info_details.cfm?aid=9787670","1R56AG059643-01")</f>
      </c>
      <c r="L80" t="n">
        <v>1.0</v>
      </c>
      <c r="M80" t="s">
        <v>1181</v>
      </c>
      <c r="N80" t="s">
        <v>476</v>
      </c>
      <c r="O80" t="s">
        <v>1182</v>
      </c>
      <c r="P80" t="s">
        <v>113</v>
      </c>
      <c r="Q80" t="s">
        <v>0</v>
      </c>
      <c r="R80" t="s">
        <v>478</v>
      </c>
      <c r="S80" t="s">
        <v>1183</v>
      </c>
      <c r="T80" t="s">
        <v>204</v>
      </c>
      <c r="U80" t="s">
        <v>294</v>
      </c>
      <c r="V80" t="s">
        <v>0</v>
      </c>
      <c r="W80" t="n">
        <v>6832127.0</v>
      </c>
      <c r="X80" t="s">
        <v>295</v>
      </c>
      <c r="Y80" t="s">
        <v>94</v>
      </c>
      <c r="Z80" t="s">
        <v>280</v>
      </c>
      <c r="AA80" t="s">
        <v>66</v>
      </c>
      <c r="AB80" t="s">
        <v>296</v>
      </c>
      <c r="AC80" t="s">
        <v>68</v>
      </c>
      <c r="AD80" t="n">
        <v>40.842455</v>
      </c>
      <c r="AE80" t="n">
        <v>-73.944838</v>
      </c>
      <c r="AF80" t="s">
        <v>297</v>
      </c>
      <c r="AG80" t="s">
        <v>298</v>
      </c>
      <c r="AH80" t="s">
        <v>171</v>
      </c>
      <c r="AI80" t="s">
        <v>172</v>
      </c>
      <c r="AJ80" t="s">
        <v>73</v>
      </c>
      <c r="AK80" t="s">
        <v>299</v>
      </c>
      <c r="AL80" t="s">
        <v>75</v>
      </c>
      <c r="AM80" t="s">
        <v>76</v>
      </c>
      <c r="AN80" t="s">
        <v>1183</v>
      </c>
      <c r="AO80" t="s">
        <v>204</v>
      </c>
      <c r="AP80" t="s">
        <v>488</v>
      </c>
      <c r="AQ80" t="s">
        <v>79</v>
      </c>
      <c r="AR80" t="n">
        <v>2018.0</v>
      </c>
      <c r="AS80" t="s">
        <v>473</v>
      </c>
      <c r="AT80" t="n">
        <v>794426.0</v>
      </c>
      <c r="AU80" t="s">
        <v>0</v>
      </c>
    </row>
    <row r="81">
      <c r="A81" t="n">
        <v>390.0</v>
      </c>
      <c r="B81" t="s">
        <v>1184</v>
      </c>
      <c r="C81" t="s">
        <v>1185</v>
      </c>
      <c r="D81" t="s">
        <v>1186</v>
      </c>
      <c r="E81" s="1">
        <f>HYPERLINK("https://projectreporter.nih.gov/project_info_description.cfm?aid=9070765","Mobile Phone Intervention to Prevent Youth Suicide in Rural Communities")</f>
      </c>
      <c r="F81" t="s">
        <v>1187</v>
      </c>
      <c r="G81" t="s">
        <v>83</v>
      </c>
      <c r="H81" t="n">
        <v>9070765.0</v>
      </c>
      <c r="I81" t="s">
        <v>1188</v>
      </c>
      <c r="J81" t="s">
        <v>1189</v>
      </c>
      <c r="K81" s="1">
        <f>HYPERLINK("https://projectreporter.nih.gov/project_info_details.cfm?aid=9070765","4K23MH101449-04")</f>
      </c>
      <c r="L81" t="n">
        <v>4.0</v>
      </c>
      <c r="M81" t="s">
        <v>710</v>
      </c>
      <c r="N81" t="s">
        <v>86</v>
      </c>
      <c r="O81" t="s">
        <v>1190</v>
      </c>
      <c r="P81" t="s">
        <v>274</v>
      </c>
      <c r="Q81" t="s">
        <v>0</v>
      </c>
      <c r="R81" t="s">
        <v>712</v>
      </c>
      <c r="S81" t="s">
        <v>332</v>
      </c>
      <c r="T81" t="s">
        <v>902</v>
      </c>
      <c r="U81" t="s">
        <v>879</v>
      </c>
      <c r="V81" t="s">
        <v>0</v>
      </c>
      <c r="W81" t="n">
        <v>9475519.0</v>
      </c>
      <c r="X81" t="s">
        <v>1191</v>
      </c>
      <c r="Y81" t="s">
        <v>94</v>
      </c>
      <c r="Z81" t="s">
        <v>685</v>
      </c>
      <c r="AA81" t="s">
        <v>96</v>
      </c>
      <c r="AB81" t="s">
        <v>687</v>
      </c>
      <c r="AC81" t="s">
        <v>68</v>
      </c>
      <c r="AD81" t="n">
        <v>43.128664</v>
      </c>
      <c r="AE81" t="n">
        <v>-77.629144</v>
      </c>
      <c r="AF81" t="s">
        <v>688</v>
      </c>
      <c r="AG81" t="s">
        <v>689</v>
      </c>
      <c r="AH81" t="s">
        <v>690</v>
      </c>
      <c r="AI81" t="s">
        <v>172</v>
      </c>
      <c r="AJ81" t="s">
        <v>691</v>
      </c>
      <c r="AK81" t="s">
        <v>692</v>
      </c>
      <c r="AL81" t="s">
        <v>75</v>
      </c>
      <c r="AM81" t="s">
        <v>76</v>
      </c>
      <c r="AN81" t="s">
        <v>1192</v>
      </c>
      <c r="AO81" t="s">
        <v>902</v>
      </c>
      <c r="AP81" t="s">
        <v>105</v>
      </c>
      <c r="AQ81" t="s">
        <v>324</v>
      </c>
      <c r="AR81" t="n">
        <v>2016.0</v>
      </c>
      <c r="AS81" t="s">
        <v>83</v>
      </c>
      <c r="AT81" t="n">
        <v>175914.0</v>
      </c>
      <c r="AU81" t="s">
        <v>0</v>
      </c>
    </row>
    <row r="82">
      <c r="A82" t="n">
        <v>390.0</v>
      </c>
      <c r="B82" t="s">
        <v>48</v>
      </c>
      <c r="C82" t="s">
        <v>544</v>
      </c>
      <c r="D82" t="s">
        <v>1193</v>
      </c>
      <c r="E82" s="1">
        <f>HYPERLINK("https://projectreporter.nih.gov/project_info_description.cfm?aid=9759677","Health Outcomes and Healthcare Use Among Transgender Veterans")</f>
      </c>
      <c r="F82" t="s">
        <v>546</v>
      </c>
      <c r="G82" t="s">
        <v>231</v>
      </c>
      <c r="H82" t="n">
        <v>9759677.0</v>
      </c>
      <c r="I82" t="s">
        <v>512</v>
      </c>
      <c r="J82" t="s">
        <v>548</v>
      </c>
      <c r="K82" s="1">
        <f>HYPERLINK("https://projectreporter.nih.gov/project_info_details.cfm?aid=9759677","5IK2HX001733-02")</f>
      </c>
      <c r="L82" t="n">
        <v>5.0</v>
      </c>
      <c r="M82" t="s">
        <v>549</v>
      </c>
      <c r="N82" t="s">
        <v>231</v>
      </c>
      <c r="O82" t="s">
        <v>550</v>
      </c>
      <c r="P82" t="s">
        <v>88</v>
      </c>
      <c r="Q82" t="s">
        <v>0</v>
      </c>
      <c r="R82" t="s">
        <v>66</v>
      </c>
      <c r="S82" t="s">
        <v>552</v>
      </c>
      <c r="T82" t="s">
        <v>553</v>
      </c>
      <c r="U82" t="s">
        <v>554</v>
      </c>
      <c r="V82" t="s">
        <v>0</v>
      </c>
      <c r="W82" t="n">
        <v>1.0362705E7</v>
      </c>
      <c r="X82" t="s">
        <v>555</v>
      </c>
      <c r="Y82" t="s">
        <v>94</v>
      </c>
      <c r="Z82" t="s">
        <v>95</v>
      </c>
      <c r="AA82" t="s">
        <v>66</v>
      </c>
      <c r="AB82" t="s">
        <v>556</v>
      </c>
      <c r="AC82" t="s">
        <v>68</v>
      </c>
      <c r="AD82" t="n">
        <v>40.479754</v>
      </c>
      <c r="AE82" t="n">
        <v>-79.90176</v>
      </c>
      <c r="AF82" t="s">
        <v>557</v>
      </c>
      <c r="AG82" t="s">
        <v>558</v>
      </c>
      <c r="AH82" t="s">
        <v>223</v>
      </c>
      <c r="AI82" t="s">
        <v>224</v>
      </c>
      <c r="AJ82" t="s">
        <v>73</v>
      </c>
      <c r="AK82" t="s">
        <v>559</v>
      </c>
      <c r="AL82" t="s">
        <v>75</v>
      </c>
      <c r="AM82" t="s">
        <v>76</v>
      </c>
      <c r="AN82" t="s">
        <v>543</v>
      </c>
      <c r="AO82" t="s">
        <v>1194</v>
      </c>
      <c r="AP82" t="s">
        <v>249</v>
      </c>
      <c r="AQ82" t="s">
        <v>561</v>
      </c>
      <c r="AR82" t="n">
        <v>2018.0</v>
      </c>
      <c r="AS82" t="s">
        <v>0</v>
      </c>
      <c r="AT82" t="s">
        <v>0</v>
      </c>
      <c r="AU82" t="s">
        <v>0</v>
      </c>
      <c r="AV82" t="s">
        <v>0</v>
      </c>
      <c r="AW82" t="s">
        <v>0</v>
      </c>
    </row>
    <row r="83">
      <c r="A83" t="n">
        <v>390.0</v>
      </c>
      <c r="B83" t="s">
        <v>48</v>
      </c>
      <c r="C83" t="s">
        <v>544</v>
      </c>
      <c r="D83" t="s">
        <v>1193</v>
      </c>
      <c r="E83" s="1">
        <f>HYPERLINK("https://projectreporter.nih.gov/project_info_description.cfm?aid=9768235","Health Outcomes and Healthcare Use Among Transgender Veterans")</f>
      </c>
      <c r="F83" t="s">
        <v>546</v>
      </c>
      <c r="G83" t="s">
        <v>231</v>
      </c>
      <c r="H83" t="n">
        <v>9768235.0</v>
      </c>
      <c r="I83" t="s">
        <v>1195</v>
      </c>
      <c r="J83" t="s">
        <v>548</v>
      </c>
      <c r="K83" s="1">
        <f>HYPERLINK("https://projectreporter.nih.gov/project_info_details.cfm?aid=9768235","5IK2HX001733-03")</f>
      </c>
      <c r="L83" t="n">
        <v>5.0</v>
      </c>
      <c r="M83" t="s">
        <v>549</v>
      </c>
      <c r="N83" t="s">
        <v>231</v>
      </c>
      <c r="O83" t="s">
        <v>550</v>
      </c>
      <c r="P83" t="s">
        <v>182</v>
      </c>
      <c r="Q83" t="s">
        <v>0</v>
      </c>
      <c r="R83" t="s">
        <v>66</v>
      </c>
      <c r="S83" t="s">
        <v>552</v>
      </c>
      <c r="T83" t="s">
        <v>553</v>
      </c>
      <c r="U83" t="s">
        <v>554</v>
      </c>
      <c r="V83" t="s">
        <v>0</v>
      </c>
      <c r="W83" t="n">
        <v>1.0362705E7</v>
      </c>
      <c r="X83" t="s">
        <v>555</v>
      </c>
      <c r="Y83" t="s">
        <v>94</v>
      </c>
      <c r="Z83" t="s">
        <v>95</v>
      </c>
      <c r="AA83" t="s">
        <v>66</v>
      </c>
      <c r="AB83" t="s">
        <v>556</v>
      </c>
      <c r="AC83" t="s">
        <v>68</v>
      </c>
      <c r="AD83" t="n">
        <v>40.479754</v>
      </c>
      <c r="AE83" t="n">
        <v>-79.90176</v>
      </c>
      <c r="AF83" t="s">
        <v>557</v>
      </c>
      <c r="AG83" t="s">
        <v>558</v>
      </c>
      <c r="AH83" t="s">
        <v>223</v>
      </c>
      <c r="AI83" t="s">
        <v>224</v>
      </c>
      <c r="AJ83" t="s">
        <v>73</v>
      </c>
      <c r="AK83" t="s">
        <v>559</v>
      </c>
      <c r="AL83" t="s">
        <v>75</v>
      </c>
      <c r="AM83" t="s">
        <v>76</v>
      </c>
      <c r="AN83" t="s">
        <v>1196</v>
      </c>
      <c r="AO83" t="s">
        <v>537</v>
      </c>
      <c r="AP83" t="s">
        <v>249</v>
      </c>
      <c r="AQ83" t="s">
        <v>561</v>
      </c>
      <c r="AR83" t="n">
        <v>2018.0</v>
      </c>
      <c r="AS83" t="s">
        <v>0</v>
      </c>
      <c r="AT83" t="s">
        <v>0</v>
      </c>
      <c r="AU83" t="s">
        <v>0</v>
      </c>
      <c r="AV83" t="s">
        <v>0</v>
      </c>
      <c r="AW83" t="s">
        <v>0</v>
      </c>
    </row>
    <row r="84">
      <c r="A84" t="n">
        <v>389.0</v>
      </c>
      <c r="B84" t="s">
        <v>48</v>
      </c>
      <c r="C84" t="s">
        <v>1197</v>
      </c>
      <c r="D84" t="s">
        <v>1198</v>
      </c>
      <c r="E84" s="1">
        <f>HYPERLINK("https://projectreporter.nih.gov/project_info_description.cfm?aid=9857979","Extension of risk for prescription opioid misuse in adolescents with the full age spectrum of adolescence through emerging adulthood")</f>
      </c>
      <c r="F84" t="s">
        <v>1199</v>
      </c>
      <c r="G84" t="s">
        <v>210</v>
      </c>
      <c r="H84" t="n">
        <v>9857979.0</v>
      </c>
      <c r="I84" t="s">
        <v>1200</v>
      </c>
      <c r="J84" t="s">
        <v>1201</v>
      </c>
      <c r="K84" s="1">
        <f>HYPERLINK("https://projectreporter.nih.gov/project_info_details.cfm?aid=9857979","3R01DA044778-02S1")</f>
      </c>
      <c r="L84" t="n">
        <v>3.0</v>
      </c>
      <c r="M84" t="s">
        <v>55</v>
      </c>
      <c r="N84" t="s">
        <v>213</v>
      </c>
      <c r="O84" t="s">
        <v>1202</v>
      </c>
      <c r="P84" t="s">
        <v>88</v>
      </c>
      <c r="Q84" t="s">
        <v>515</v>
      </c>
      <c r="R84" t="s">
        <v>1203</v>
      </c>
      <c r="S84" t="s">
        <v>1204</v>
      </c>
      <c r="T84" t="s">
        <v>1205</v>
      </c>
      <c r="U84" t="s">
        <v>1206</v>
      </c>
      <c r="V84" t="s">
        <v>0</v>
      </c>
      <c r="W84" t="n">
        <v>8832021.0</v>
      </c>
      <c r="X84" t="s">
        <v>1207</v>
      </c>
      <c r="Y84" t="s">
        <v>1208</v>
      </c>
      <c r="Z84" t="s">
        <v>182</v>
      </c>
      <c r="AA84" t="s">
        <v>704</v>
      </c>
      <c r="AB84" t="s">
        <v>521</v>
      </c>
      <c r="AC84" t="s">
        <v>68</v>
      </c>
      <c r="AD84" t="n">
        <v>45.488429</v>
      </c>
      <c r="AE84" t="n">
        <v>-122.690599</v>
      </c>
      <c r="AF84" t="s">
        <v>522</v>
      </c>
      <c r="AG84" t="s">
        <v>523</v>
      </c>
      <c r="AH84" t="s">
        <v>524</v>
      </c>
      <c r="AI84" t="s">
        <v>525</v>
      </c>
      <c r="AJ84" t="s">
        <v>101</v>
      </c>
      <c r="AK84" t="s">
        <v>526</v>
      </c>
      <c r="AL84" t="s">
        <v>75</v>
      </c>
      <c r="AM84" t="s">
        <v>76</v>
      </c>
      <c r="AN84" t="s">
        <v>819</v>
      </c>
      <c r="AO84" t="s">
        <v>134</v>
      </c>
      <c r="AP84" t="s">
        <v>227</v>
      </c>
      <c r="AQ84" t="s">
        <v>79</v>
      </c>
      <c r="AR84" t="n">
        <v>2019.0</v>
      </c>
      <c r="AS84" t="s">
        <v>210</v>
      </c>
      <c r="AT84" t="n">
        <v>146018.0</v>
      </c>
      <c r="AU84" t="s">
        <v>0</v>
      </c>
    </row>
    <row r="85">
      <c r="A85" t="n">
        <v>389.0</v>
      </c>
      <c r="B85" t="s">
        <v>1209</v>
      </c>
      <c r="C85" t="s">
        <v>1210</v>
      </c>
      <c r="D85" t="s">
        <v>1211</v>
      </c>
      <c r="E85" s="1">
        <f>HYPERLINK("https://projectreporter.nih.gov/project_info_description.cfm?aid=8726454","Neuroendocrine regulation of the reproductive axis during puberty and development")</f>
      </c>
      <c r="F85" t="s">
        <v>1212</v>
      </c>
      <c r="G85" t="s">
        <v>52</v>
      </c>
      <c r="H85" t="n">
        <v>8726454.0</v>
      </c>
      <c r="I85" t="s">
        <v>1213</v>
      </c>
      <c r="J85" t="s">
        <v>636</v>
      </c>
      <c r="K85" s="1">
        <f>HYPERLINK("https://projectreporter.nih.gov/project_info_details.cfm?aid=8726454","5R01HD065856-05")</f>
      </c>
      <c r="L85" t="n">
        <v>5.0</v>
      </c>
      <c r="M85" t="s">
        <v>55</v>
      </c>
      <c r="N85" t="s">
        <v>56</v>
      </c>
      <c r="O85" t="s">
        <v>1214</v>
      </c>
      <c r="P85" t="s">
        <v>58</v>
      </c>
      <c r="Q85" t="s">
        <v>0</v>
      </c>
      <c r="R85" t="s">
        <v>59</v>
      </c>
      <c r="S85" t="s">
        <v>1215</v>
      </c>
      <c r="T85" t="s">
        <v>1216</v>
      </c>
      <c r="U85" t="s">
        <v>1217</v>
      </c>
      <c r="V85" t="s">
        <v>0</v>
      </c>
      <c r="W85" t="n">
        <v>7313921.0</v>
      </c>
      <c r="X85" t="s">
        <v>1218</v>
      </c>
      <c r="Y85" t="s">
        <v>94</v>
      </c>
      <c r="Z85" t="s">
        <v>918</v>
      </c>
      <c r="AA85" t="s">
        <v>1062</v>
      </c>
      <c r="AB85" t="s">
        <v>919</v>
      </c>
      <c r="AC85" t="s">
        <v>68</v>
      </c>
      <c r="AD85" t="n">
        <v>32.876991</v>
      </c>
      <c r="AE85" t="n">
        <v>-117.24087</v>
      </c>
      <c r="AF85" t="s">
        <v>920</v>
      </c>
      <c r="AG85" t="s">
        <v>921</v>
      </c>
      <c r="AH85" t="s">
        <v>922</v>
      </c>
      <c r="AI85" t="s">
        <v>72</v>
      </c>
      <c r="AJ85" t="s">
        <v>101</v>
      </c>
      <c r="AK85" t="s">
        <v>923</v>
      </c>
      <c r="AL85" t="s">
        <v>75</v>
      </c>
      <c r="AM85" t="s">
        <v>76</v>
      </c>
      <c r="AN85" t="s">
        <v>909</v>
      </c>
      <c r="AO85" t="s">
        <v>1216</v>
      </c>
      <c r="AP85" t="s">
        <v>78</v>
      </c>
      <c r="AQ85" t="s">
        <v>79</v>
      </c>
      <c r="AR85" t="n">
        <v>2014.0</v>
      </c>
      <c r="AS85" t="s">
        <v>52</v>
      </c>
      <c r="AT85" t="n">
        <v>290724.0</v>
      </c>
      <c r="AU85" t="s">
        <v>0</v>
      </c>
    </row>
    <row r="86">
      <c r="A86" t="n">
        <v>388.0</v>
      </c>
      <c r="B86" t="s">
        <v>48</v>
      </c>
      <c r="C86" t="s">
        <v>1219</v>
      </c>
      <c r="D86" t="s">
        <v>1220</v>
      </c>
      <c r="E86" s="1">
        <f>HYPERLINK("https://projectreporter.nih.gov/project_info_description.cfm?aid=7414985","Substance Abuse Among Suburban Youth: Prospective Study")</f>
      </c>
      <c r="F86" t="s">
        <v>304</v>
      </c>
      <c r="G86" t="s">
        <v>210</v>
      </c>
      <c r="H86" t="n">
        <v>7414985.0</v>
      </c>
      <c r="I86" t="s">
        <v>1221</v>
      </c>
      <c r="J86" t="s">
        <v>1222</v>
      </c>
      <c r="K86" s="1">
        <f>HYPERLINK("https://projectreporter.nih.gov/project_info_details.cfm?aid=7414985","5R01DA014385-05")</f>
      </c>
      <c r="L86" t="n">
        <v>5.0</v>
      </c>
      <c r="M86" t="s">
        <v>55</v>
      </c>
      <c r="N86" t="s">
        <v>213</v>
      </c>
      <c r="O86" t="s">
        <v>1223</v>
      </c>
      <c r="P86" t="s">
        <v>58</v>
      </c>
      <c r="Q86" t="s">
        <v>0</v>
      </c>
      <c r="R86" t="s">
        <v>1224</v>
      </c>
      <c r="S86" t="s">
        <v>1225</v>
      </c>
      <c r="T86" t="s">
        <v>1226</v>
      </c>
      <c r="U86" t="s">
        <v>1227</v>
      </c>
      <c r="V86" t="s">
        <v>0</v>
      </c>
      <c r="W86" t="n">
        <v>1882328.0</v>
      </c>
      <c r="X86" t="s">
        <v>1228</v>
      </c>
      <c r="Y86" t="s">
        <v>94</v>
      </c>
      <c r="Z86" t="s">
        <v>624</v>
      </c>
      <c r="AA86" t="s">
        <v>800</v>
      </c>
      <c r="AB86" t="s">
        <v>1229</v>
      </c>
      <c r="AC86" t="s">
        <v>68</v>
      </c>
      <c r="AD86" t="n">
        <v>40.80972</v>
      </c>
      <c r="AE86" t="n">
        <v>-73.959885</v>
      </c>
      <c r="AF86" t="s">
        <v>1230</v>
      </c>
      <c r="AG86" t="s">
        <v>1231</v>
      </c>
      <c r="AH86" t="s">
        <v>171</v>
      </c>
      <c r="AI86" t="s">
        <v>172</v>
      </c>
      <c r="AJ86" t="s">
        <v>173</v>
      </c>
      <c r="AK86" t="s">
        <v>1232</v>
      </c>
      <c r="AL86" t="s">
        <v>75</v>
      </c>
      <c r="AM86" t="s">
        <v>76</v>
      </c>
      <c r="AN86" t="s">
        <v>1233</v>
      </c>
      <c r="AO86" t="s">
        <v>1226</v>
      </c>
      <c r="AP86" t="s">
        <v>227</v>
      </c>
      <c r="AQ86" t="s">
        <v>79</v>
      </c>
      <c r="AR86" t="n">
        <v>2007.0</v>
      </c>
      <c r="AS86" t="s">
        <v>210</v>
      </c>
      <c r="AT86" t="n">
        <v>250251.0</v>
      </c>
      <c r="AU86" t="s">
        <v>0</v>
      </c>
    </row>
    <row r="87">
      <c r="A87" t="n">
        <v>386.0</v>
      </c>
      <c r="B87" t="s">
        <v>1234</v>
      </c>
      <c r="C87" t="s">
        <v>1235</v>
      </c>
      <c r="D87" t="s">
        <v>1236</v>
      </c>
      <c r="E87" s="1">
        <f>HYPERLINK("https://projectreporter.nih.gov/project_info_description.cfm?aid=9491759","Training in Drug Abuse &amp; HIV Prevention for Female &amp; Transgender Sex Workers")</f>
      </c>
      <c r="F87" t="s">
        <v>1237</v>
      </c>
      <c r="G87" t="s">
        <v>210</v>
      </c>
      <c r="H87" t="n">
        <v>9491759.0</v>
      </c>
      <c r="I87" t="s">
        <v>1238</v>
      </c>
      <c r="J87" t="s">
        <v>1056</v>
      </c>
      <c r="K87" s="1">
        <f>HYPERLINK("https://projectreporter.nih.gov/project_info_details.cfm?aid=9491759","5K01DA038529-05")</f>
      </c>
      <c r="L87" t="n">
        <v>5.0</v>
      </c>
      <c r="M87" t="s">
        <v>1057</v>
      </c>
      <c r="N87" t="s">
        <v>213</v>
      </c>
      <c r="O87" t="s">
        <v>1239</v>
      </c>
      <c r="P87" t="s">
        <v>58</v>
      </c>
      <c r="Q87" t="s">
        <v>0</v>
      </c>
      <c r="R87" t="s">
        <v>900</v>
      </c>
      <c r="S87" t="s">
        <v>1240</v>
      </c>
      <c r="T87" t="s">
        <v>61</v>
      </c>
      <c r="U87" t="s">
        <v>186</v>
      </c>
      <c r="V87" t="s">
        <v>0</v>
      </c>
      <c r="W87" t="n">
        <v>1.1386162E7</v>
      </c>
      <c r="X87" t="s">
        <v>1241</v>
      </c>
      <c r="Y87" t="s">
        <v>94</v>
      </c>
      <c r="Z87" t="s">
        <v>182</v>
      </c>
      <c r="AA87" t="s">
        <v>704</v>
      </c>
      <c r="AB87" t="s">
        <v>371</v>
      </c>
      <c r="AC87" t="s">
        <v>68</v>
      </c>
      <c r="AD87" t="n">
        <v>41.302711</v>
      </c>
      <c r="AE87" t="n">
        <v>-72.931986</v>
      </c>
      <c r="AF87" t="s">
        <v>372</v>
      </c>
      <c r="AG87" t="s">
        <v>373</v>
      </c>
      <c r="AH87" t="s">
        <v>374</v>
      </c>
      <c r="AI87" t="s">
        <v>375</v>
      </c>
      <c r="AJ87" t="s">
        <v>101</v>
      </c>
      <c r="AK87" t="s">
        <v>377</v>
      </c>
      <c r="AL87" t="s">
        <v>75</v>
      </c>
      <c r="AM87" t="s">
        <v>76</v>
      </c>
      <c r="AN87" t="s">
        <v>300</v>
      </c>
      <c r="AO87" t="s">
        <v>61</v>
      </c>
      <c r="AP87" t="s">
        <v>227</v>
      </c>
      <c r="AQ87" t="s">
        <v>324</v>
      </c>
      <c r="AR87" t="n">
        <v>2018.0</v>
      </c>
      <c r="AS87" t="s">
        <v>210</v>
      </c>
      <c r="AT87" t="n">
        <v>167565.0</v>
      </c>
      <c r="AU87" t="s">
        <v>0</v>
      </c>
    </row>
    <row r="88">
      <c r="A88" t="n">
        <v>386.0</v>
      </c>
      <c r="B88" t="s">
        <v>1242</v>
      </c>
      <c r="C88" t="s">
        <v>1243</v>
      </c>
      <c r="D88" t="s">
        <v>1244</v>
      </c>
      <c r="E88" s="1">
        <f>HYPERLINK("https://projectreporter.nih.gov/project_info_description.cfm?aid=8332759","Mood, Substance Use and Suicidality in Bipolar Adolescents: A Prospective Study")</f>
      </c>
      <c r="F88" t="s">
        <v>1245</v>
      </c>
      <c r="G88" t="s">
        <v>210</v>
      </c>
      <c r="H88" t="n">
        <v>8332759.0</v>
      </c>
      <c r="I88" t="s">
        <v>1246</v>
      </c>
      <c r="J88" t="s">
        <v>1247</v>
      </c>
      <c r="K88" s="1">
        <f>HYPERLINK("https://projectreporter.nih.gov/project_info_details.cfm?aid=8332759","5R03DA032505-02")</f>
      </c>
      <c r="L88" t="n">
        <v>5.0</v>
      </c>
      <c r="M88" t="s">
        <v>445</v>
      </c>
      <c r="N88" t="s">
        <v>213</v>
      </c>
      <c r="O88" t="s">
        <v>1248</v>
      </c>
      <c r="P88" t="s">
        <v>88</v>
      </c>
      <c r="Q88" t="s">
        <v>0</v>
      </c>
      <c r="R88" t="s">
        <v>1249</v>
      </c>
      <c r="S88" t="s">
        <v>1250</v>
      </c>
      <c r="T88" t="s">
        <v>1251</v>
      </c>
      <c r="U88" t="s">
        <v>1252</v>
      </c>
      <c r="V88" t="s">
        <v>0</v>
      </c>
      <c r="W88" t="n">
        <v>7840990.0</v>
      </c>
      <c r="X88" t="s">
        <v>1253</v>
      </c>
      <c r="Y88" t="s">
        <v>94</v>
      </c>
      <c r="Z88" t="s">
        <v>95</v>
      </c>
      <c r="AA88" t="s">
        <v>96</v>
      </c>
      <c r="AB88" t="s">
        <v>220</v>
      </c>
      <c r="AC88" t="s">
        <v>68</v>
      </c>
      <c r="AD88" t="n">
        <v>40.444095</v>
      </c>
      <c r="AE88" t="n">
        <v>-79.956899</v>
      </c>
      <c r="AF88" t="s">
        <v>221</v>
      </c>
      <c r="AG88" t="s">
        <v>222</v>
      </c>
      <c r="AH88" t="s">
        <v>223</v>
      </c>
      <c r="AI88" t="s">
        <v>224</v>
      </c>
      <c r="AJ88" t="s">
        <v>101</v>
      </c>
      <c r="AK88" t="s">
        <v>225</v>
      </c>
      <c r="AL88" t="s">
        <v>75</v>
      </c>
      <c r="AM88" t="s">
        <v>76</v>
      </c>
      <c r="AN88" t="s">
        <v>901</v>
      </c>
      <c r="AO88" t="s">
        <v>1251</v>
      </c>
      <c r="AP88" t="s">
        <v>227</v>
      </c>
      <c r="AQ88" t="s">
        <v>79</v>
      </c>
      <c r="AR88" t="n">
        <v>2012.0</v>
      </c>
      <c r="AS88" t="s">
        <v>210</v>
      </c>
      <c r="AT88" t="n">
        <v>37875.0</v>
      </c>
      <c r="AU88" t="s">
        <v>0</v>
      </c>
    </row>
    <row r="89">
      <c r="A89" t="n">
        <v>383.0</v>
      </c>
      <c r="B89" t="s">
        <v>1254</v>
      </c>
      <c r="C89" t="s">
        <v>1255</v>
      </c>
      <c r="D89" t="s">
        <v>1256</v>
      </c>
      <c r="E89" s="1">
        <f>HYPERLINK("https://projectreporter.nih.gov/project_info_description.cfm?aid=9024027","Neuroendocrine effects of alcohol on puberty")</f>
      </c>
      <c r="F89" t="s">
        <v>1257</v>
      </c>
      <c r="G89" t="s">
        <v>855</v>
      </c>
      <c r="H89" t="n">
        <v>9024027.0</v>
      </c>
      <c r="I89" t="s">
        <v>1258</v>
      </c>
      <c r="J89" t="s">
        <v>429</v>
      </c>
      <c r="K89" s="1">
        <f>HYPERLINK("https://projectreporter.nih.gov/project_info_details.cfm?aid=9024027","2R01AA007216-24A1")</f>
      </c>
      <c r="L89" t="n">
        <v>2.0</v>
      </c>
      <c r="M89" t="s">
        <v>55</v>
      </c>
      <c r="N89" t="s">
        <v>858</v>
      </c>
      <c r="O89" t="s">
        <v>1259</v>
      </c>
      <c r="P89" t="s">
        <v>1260</v>
      </c>
      <c r="Q89" t="s">
        <v>236</v>
      </c>
      <c r="R89" t="s">
        <v>1261</v>
      </c>
      <c r="S89" t="s">
        <v>1262</v>
      </c>
      <c r="T89" t="s">
        <v>104</v>
      </c>
      <c r="U89" t="s">
        <v>1263</v>
      </c>
      <c r="V89" t="s">
        <v>0</v>
      </c>
      <c r="W89" t="n">
        <v>1899210.0</v>
      </c>
      <c r="X89" t="s">
        <v>1264</v>
      </c>
      <c r="Y89" t="s">
        <v>94</v>
      </c>
      <c r="Z89" t="s">
        <v>1265</v>
      </c>
      <c r="AA89" t="s">
        <v>1266</v>
      </c>
      <c r="AB89" t="s">
        <v>1267</v>
      </c>
      <c r="AC89" t="s">
        <v>68</v>
      </c>
      <c r="AD89" t="n">
        <v>30.588101</v>
      </c>
      <c r="AE89" t="n">
        <v>-96.295308</v>
      </c>
      <c r="AF89" t="s">
        <v>1268</v>
      </c>
      <c r="AG89" t="s">
        <v>1269</v>
      </c>
      <c r="AH89" t="s">
        <v>1270</v>
      </c>
      <c r="AI89" t="s">
        <v>457</v>
      </c>
      <c r="AJ89" t="s">
        <v>1271</v>
      </c>
      <c r="AK89" t="s">
        <v>1272</v>
      </c>
      <c r="AL89" t="s">
        <v>75</v>
      </c>
      <c r="AM89" t="s">
        <v>76</v>
      </c>
      <c r="AN89" t="s">
        <v>1273</v>
      </c>
      <c r="AO89" t="s">
        <v>313</v>
      </c>
      <c r="AP89" t="s">
        <v>870</v>
      </c>
      <c r="AQ89" t="s">
        <v>79</v>
      </c>
      <c r="AR89" t="n">
        <v>2015.0</v>
      </c>
      <c r="AS89" t="s">
        <v>855</v>
      </c>
      <c r="AT89" t="n">
        <v>334125.0</v>
      </c>
      <c r="AU89" t="s">
        <v>0</v>
      </c>
    </row>
    <row r="90">
      <c r="A90" t="n">
        <v>382.0</v>
      </c>
      <c r="B90" t="s">
        <v>48</v>
      </c>
      <c r="C90" t="s">
        <v>1274</v>
      </c>
      <c r="D90" t="s">
        <v>1275</v>
      </c>
      <c r="E90" s="1">
        <f>HYPERLINK("https://projectreporter.nih.gov/project_info_description.cfm?aid=9747856","Employing eSBI in a Community-based HIV Testing Environment for At-risk Youth")</f>
      </c>
      <c r="F90" t="s">
        <v>1276</v>
      </c>
      <c r="G90" t="s">
        <v>210</v>
      </c>
      <c r="H90" t="n">
        <v>9747856.0</v>
      </c>
      <c r="I90" t="s">
        <v>652</v>
      </c>
      <c r="J90" t="s">
        <v>1277</v>
      </c>
      <c r="K90" s="1">
        <f>HYPERLINK("https://projectreporter.nih.gov/project_info_details.cfm?aid=9747856","5R01DA041071-05")</f>
      </c>
      <c r="L90" t="n">
        <v>5.0</v>
      </c>
      <c r="M90" t="s">
        <v>55</v>
      </c>
      <c r="N90" t="s">
        <v>213</v>
      </c>
      <c r="O90" t="s">
        <v>1278</v>
      </c>
      <c r="P90" t="s">
        <v>58</v>
      </c>
      <c r="Q90" t="s">
        <v>0</v>
      </c>
      <c r="R90" t="s">
        <v>900</v>
      </c>
      <c r="S90" t="s">
        <v>216</v>
      </c>
      <c r="T90" t="s">
        <v>438</v>
      </c>
      <c r="U90" t="s">
        <v>1279</v>
      </c>
      <c r="V90" t="s">
        <v>0</v>
      </c>
      <c r="W90" t="n">
        <v>8404150.0</v>
      </c>
      <c r="X90" t="s">
        <v>1280</v>
      </c>
      <c r="Y90" t="s">
        <v>1281</v>
      </c>
      <c r="Z90" t="s">
        <v>137</v>
      </c>
      <c r="AA90" t="s">
        <v>66</v>
      </c>
      <c r="AB90" t="s">
        <v>138</v>
      </c>
      <c r="AC90" t="s">
        <v>68</v>
      </c>
      <c r="AD90" t="n">
        <v>41.896683</v>
      </c>
      <c r="AE90" t="n">
        <v>-87.621466</v>
      </c>
      <c r="AF90" t="s">
        <v>139</v>
      </c>
      <c r="AG90" t="s">
        <v>140</v>
      </c>
      <c r="AH90" t="s">
        <v>141</v>
      </c>
      <c r="AI90" t="s">
        <v>142</v>
      </c>
      <c r="AJ90" t="s">
        <v>73</v>
      </c>
      <c r="AK90" t="s">
        <v>143</v>
      </c>
      <c r="AL90" t="s">
        <v>75</v>
      </c>
      <c r="AM90" t="s">
        <v>76</v>
      </c>
      <c r="AN90" t="s">
        <v>437</v>
      </c>
      <c r="AO90" t="s">
        <v>438</v>
      </c>
      <c r="AP90" t="s">
        <v>227</v>
      </c>
      <c r="AQ90" t="s">
        <v>79</v>
      </c>
      <c r="AR90" t="n">
        <v>2019.0</v>
      </c>
      <c r="AS90" t="s">
        <v>210</v>
      </c>
      <c r="AT90" t="n">
        <v>591169.0</v>
      </c>
      <c r="AU90" t="s">
        <v>0</v>
      </c>
    </row>
    <row r="91">
      <c r="A91" t="n">
        <v>382.0</v>
      </c>
      <c r="B91" t="s">
        <v>48</v>
      </c>
      <c r="C91" t="s">
        <v>1282</v>
      </c>
      <c r="D91" t="s">
        <v>1283</v>
      </c>
      <c r="E91" s="1">
        <f>HYPERLINK("https://projectreporter.nih.gov/project_info_description.cfm?aid=9768575","Experimental evaluation of a multi-site suicide intervention for youth during and after residential placement")</f>
      </c>
      <c r="F91" t="s">
        <v>1284</v>
      </c>
      <c r="G91" t="s">
        <v>83</v>
      </c>
      <c r="H91" t="n">
        <v>9768575.0</v>
      </c>
      <c r="I91" t="s">
        <v>1285</v>
      </c>
      <c r="J91" t="s">
        <v>1286</v>
      </c>
      <c r="K91" s="1">
        <f>HYPERLINK("https://projectreporter.nih.gov/project_info_details.cfm?aid=9768575","5R01MH114937-02")</f>
      </c>
      <c r="L91" t="n">
        <v>5.0</v>
      </c>
      <c r="M91" t="s">
        <v>55</v>
      </c>
      <c r="N91" t="s">
        <v>86</v>
      </c>
      <c r="O91" t="s">
        <v>1287</v>
      </c>
      <c r="P91" t="s">
        <v>88</v>
      </c>
      <c r="Q91" t="s">
        <v>0</v>
      </c>
      <c r="R91" t="s">
        <v>1288</v>
      </c>
      <c r="S91" t="s">
        <v>90</v>
      </c>
      <c r="T91" t="s">
        <v>91</v>
      </c>
      <c r="U91" t="s">
        <v>260</v>
      </c>
      <c r="V91" t="s">
        <v>0</v>
      </c>
      <c r="W91" t="n">
        <v>1.1259559E7</v>
      </c>
      <c r="X91" t="s">
        <v>1289</v>
      </c>
      <c r="Y91" t="s">
        <v>1290</v>
      </c>
      <c r="Z91" t="s">
        <v>116</v>
      </c>
      <c r="AA91" t="s">
        <v>818</v>
      </c>
      <c r="AB91" t="s">
        <v>168</v>
      </c>
      <c r="AC91" t="s">
        <v>68</v>
      </c>
      <c r="AD91" t="n">
        <v>40.727349</v>
      </c>
      <c r="AE91" t="n">
        <v>-73.99527</v>
      </c>
      <c r="AF91" t="s">
        <v>169</v>
      </c>
      <c r="AG91" t="s">
        <v>170</v>
      </c>
      <c r="AH91" t="s">
        <v>171</v>
      </c>
      <c r="AI91" t="s">
        <v>172</v>
      </c>
      <c r="AJ91" t="s">
        <v>173</v>
      </c>
      <c r="AK91" t="s">
        <v>174</v>
      </c>
      <c r="AL91" t="s">
        <v>75</v>
      </c>
      <c r="AM91" t="s">
        <v>76</v>
      </c>
      <c r="AN91" t="s">
        <v>103</v>
      </c>
      <c r="AO91" t="s">
        <v>104</v>
      </c>
      <c r="AP91" t="s">
        <v>105</v>
      </c>
      <c r="AQ91" t="s">
        <v>79</v>
      </c>
      <c r="AR91" t="n">
        <v>2019.0</v>
      </c>
      <c r="AS91" t="s">
        <v>83</v>
      </c>
      <c r="AT91" t="n">
        <v>674096.0</v>
      </c>
      <c r="AU91" t="s">
        <v>0</v>
      </c>
    </row>
    <row r="92">
      <c r="A92" t="n">
        <v>382.0</v>
      </c>
      <c r="B92" t="s">
        <v>1291</v>
      </c>
      <c r="C92" t="s">
        <v>1292</v>
      </c>
      <c r="D92" t="s">
        <v>1293</v>
      </c>
      <c r="E92" s="1">
        <f>HYPERLINK("https://projectreporter.nih.gov/project_info_description.cfm?aid=8820808","Stroger/CORE Chicago Adolescent Trials Unit (ATU)")</f>
      </c>
      <c r="F92" t="s">
        <v>304</v>
      </c>
      <c r="G92" t="s">
        <v>52</v>
      </c>
      <c r="H92" t="n">
        <v>8820808.0</v>
      </c>
      <c r="I92" t="s">
        <v>1294</v>
      </c>
      <c r="J92" t="s">
        <v>947</v>
      </c>
      <c r="K92" s="1">
        <f>HYPERLINK("https://projectreporter.nih.gov/project_info_details.cfm?aid=8820808","5U01HD040515-15")</f>
      </c>
      <c r="L92" t="n">
        <v>5.0</v>
      </c>
      <c r="M92" t="s">
        <v>948</v>
      </c>
      <c r="N92" t="s">
        <v>56</v>
      </c>
      <c r="O92" t="s">
        <v>1295</v>
      </c>
      <c r="P92" t="s">
        <v>1296</v>
      </c>
      <c r="Q92" t="s">
        <v>0</v>
      </c>
      <c r="R92" t="s">
        <v>950</v>
      </c>
      <c r="S92" t="s">
        <v>1297</v>
      </c>
      <c r="T92" t="s">
        <v>560</v>
      </c>
      <c r="U92" t="s">
        <v>953</v>
      </c>
      <c r="V92" t="s">
        <v>0</v>
      </c>
      <c r="W92" t="n">
        <v>1.0487035E7</v>
      </c>
      <c r="X92" t="s">
        <v>1298</v>
      </c>
      <c r="Y92" t="s">
        <v>94</v>
      </c>
      <c r="Z92" t="s">
        <v>137</v>
      </c>
      <c r="AA92" t="s">
        <v>66</v>
      </c>
      <c r="AB92" t="s">
        <v>188</v>
      </c>
      <c r="AC92" t="s">
        <v>68</v>
      </c>
      <c r="AD92" t="n">
        <v>41.868656</v>
      </c>
      <c r="AE92" t="n">
        <v>-87.681471</v>
      </c>
      <c r="AF92" t="s">
        <v>189</v>
      </c>
      <c r="AG92" t="s">
        <v>190</v>
      </c>
      <c r="AH92" t="s">
        <v>191</v>
      </c>
      <c r="AI92" t="s">
        <v>142</v>
      </c>
      <c r="AJ92" t="s">
        <v>192</v>
      </c>
      <c r="AK92" t="s">
        <v>193</v>
      </c>
      <c r="AL92" t="s">
        <v>75</v>
      </c>
      <c r="AM92" t="s">
        <v>76</v>
      </c>
      <c r="AN92" t="s">
        <v>1299</v>
      </c>
      <c r="AO92" t="s">
        <v>560</v>
      </c>
      <c r="AP92" t="s">
        <v>78</v>
      </c>
      <c r="AQ92" t="s">
        <v>79</v>
      </c>
      <c r="AR92" t="n">
        <v>2015.0</v>
      </c>
      <c r="AS92" t="s">
        <v>52</v>
      </c>
      <c r="AT92" t="n">
        <v>788701.0</v>
      </c>
      <c r="AU92" t="s">
        <v>0</v>
      </c>
    </row>
    <row r="93">
      <c r="A93" t="n">
        <v>382.0</v>
      </c>
      <c r="B93" t="s">
        <v>48</v>
      </c>
      <c r="C93" t="s">
        <v>1300</v>
      </c>
      <c r="D93" t="s">
        <v>1301</v>
      </c>
      <c r="E93" s="1">
        <f>HYPERLINK("https://projectreporter.nih.gov/project_info_description.cfm?aid=7989279","Impact of an Evidence-Based Treatment Policy on Youth Mental Health Outcomes")</f>
      </c>
      <c r="F93" t="s">
        <v>304</v>
      </c>
      <c r="G93" t="s">
        <v>83</v>
      </c>
      <c r="H93" t="n">
        <v>7989279.0</v>
      </c>
      <c r="I93" t="s">
        <v>1302</v>
      </c>
      <c r="J93" t="s">
        <v>1303</v>
      </c>
      <c r="K93" s="1">
        <f>HYPERLINK("https://projectreporter.nih.gov/project_info_details.cfm?aid=7989279","7R03MH079918-03")</f>
      </c>
      <c r="L93" t="n">
        <v>7.0</v>
      </c>
      <c r="M93" t="s">
        <v>445</v>
      </c>
      <c r="N93" t="s">
        <v>86</v>
      </c>
      <c r="O93" t="s">
        <v>1304</v>
      </c>
      <c r="P93" t="s">
        <v>182</v>
      </c>
      <c r="Q93" t="s">
        <v>0</v>
      </c>
      <c r="R93" t="s">
        <v>1305</v>
      </c>
      <c r="S93" t="s">
        <v>1306</v>
      </c>
      <c r="T93" t="s">
        <v>1307</v>
      </c>
      <c r="U93" t="s">
        <v>1308</v>
      </c>
      <c r="V93" t="s">
        <v>0</v>
      </c>
      <c r="W93" t="n">
        <v>8205873.0</v>
      </c>
      <c r="X93" t="s">
        <v>1309</v>
      </c>
      <c r="Y93" t="s">
        <v>94</v>
      </c>
      <c r="Z93" t="s">
        <v>828</v>
      </c>
      <c r="AA93" t="s">
        <v>167</v>
      </c>
      <c r="AB93" t="s">
        <v>829</v>
      </c>
      <c r="AC93" t="s">
        <v>68</v>
      </c>
      <c r="AD93" t="n">
        <v>25.71188</v>
      </c>
      <c r="AE93" t="n">
        <v>-80.284456</v>
      </c>
      <c r="AF93" t="s">
        <v>830</v>
      </c>
      <c r="AG93" t="s">
        <v>831</v>
      </c>
      <c r="AH93" t="s">
        <v>832</v>
      </c>
      <c r="AI93" t="s">
        <v>833</v>
      </c>
      <c r="AJ93" t="s">
        <v>267</v>
      </c>
      <c r="AK93" t="s">
        <v>834</v>
      </c>
      <c r="AL93" t="s">
        <v>75</v>
      </c>
      <c r="AM93" t="s">
        <v>76</v>
      </c>
      <c r="AN93" t="s">
        <v>1310</v>
      </c>
      <c r="AO93" t="s">
        <v>1307</v>
      </c>
      <c r="AP93" t="s">
        <v>105</v>
      </c>
      <c r="AQ93" t="s">
        <v>79</v>
      </c>
      <c r="AR93" t="n">
        <v>2009.0</v>
      </c>
      <c r="AS93" t="s">
        <v>83</v>
      </c>
      <c r="AT93" t="n">
        <v>77291.0</v>
      </c>
      <c r="AU93" t="s">
        <v>0</v>
      </c>
    </row>
    <row r="94">
      <c r="A94" t="n">
        <v>380.0</v>
      </c>
      <c r="B94" t="s">
        <v>1311</v>
      </c>
      <c r="C94" t="s">
        <v>1312</v>
      </c>
      <c r="D94" t="s">
        <v>1313</v>
      </c>
      <c r="E94" s="1">
        <f>HYPERLINK("https://projectreporter.nih.gov/project_info_description.cfm?aid=7952077","TRANSSEXUAL'S RESPONSE TO VISUAL STIMULI-AN FMRI STUDY")</f>
      </c>
      <c r="F94" t="s">
        <v>304</v>
      </c>
      <c r="G94" t="s">
        <v>735</v>
      </c>
      <c r="H94" t="n">
        <v>7952077.0</v>
      </c>
      <c r="I94" t="s">
        <v>1314</v>
      </c>
      <c r="J94" t="s">
        <v>0</v>
      </c>
      <c r="K94" s="1">
        <f>HYPERLINK("https://projectreporter.nih.gov/project_info_details.cfm?aid=7952077","5M01RR000997-34")</f>
      </c>
      <c r="L94" t="n">
        <v>5.0</v>
      </c>
      <c r="M94" t="s">
        <v>737</v>
      </c>
      <c r="N94" t="s">
        <v>738</v>
      </c>
      <c r="O94" t="s">
        <v>1315</v>
      </c>
      <c r="P94" t="s">
        <v>1316</v>
      </c>
      <c r="Q94" t="s">
        <v>0</v>
      </c>
      <c r="R94" t="s">
        <v>66</v>
      </c>
      <c r="S94" t="s">
        <v>1317</v>
      </c>
      <c r="T94" t="s">
        <v>1318</v>
      </c>
      <c r="U94" t="s">
        <v>743</v>
      </c>
      <c r="V94" t="n">
        <v>7382.0</v>
      </c>
      <c r="W94" t="n">
        <v>1.0244863E7</v>
      </c>
      <c r="X94" t="s">
        <v>1319</v>
      </c>
      <c r="Y94" t="s">
        <v>94</v>
      </c>
      <c r="Z94" t="s">
        <v>113</v>
      </c>
      <c r="AA94" t="s">
        <v>704</v>
      </c>
      <c r="AB94" t="s">
        <v>1320</v>
      </c>
      <c r="AC94" t="s">
        <v>68</v>
      </c>
      <c r="AD94" t="n">
        <v>35.090226</v>
      </c>
      <c r="AE94" t="n">
        <v>-106.625292</v>
      </c>
      <c r="AF94" t="s">
        <v>1321</v>
      </c>
      <c r="AG94" t="s">
        <v>1322</v>
      </c>
      <c r="AH94" t="s">
        <v>1323</v>
      </c>
      <c r="AI94" t="s">
        <v>1324</v>
      </c>
      <c r="AJ94" t="s">
        <v>101</v>
      </c>
      <c r="AK94" t="s">
        <v>1325</v>
      </c>
      <c r="AL94" t="s">
        <v>75</v>
      </c>
      <c r="AM94" t="s">
        <v>76</v>
      </c>
      <c r="AN94" t="s">
        <v>1317</v>
      </c>
      <c r="AO94" t="s">
        <v>1318</v>
      </c>
      <c r="AP94" t="s">
        <v>752</v>
      </c>
      <c r="AQ94" t="s">
        <v>630</v>
      </c>
      <c r="AR94" t="n">
        <v>2009.0</v>
      </c>
      <c r="AS94" t="s">
        <v>0</v>
      </c>
      <c r="AT94" t="s">
        <v>0</v>
      </c>
      <c r="AU94" t="n">
        <v>18580.0</v>
      </c>
    </row>
    <row r="95">
      <c r="A95" t="n">
        <v>379.0</v>
      </c>
      <c r="B95" t="s">
        <v>48</v>
      </c>
      <c r="C95" t="s">
        <v>1326</v>
      </c>
      <c r="D95" t="s">
        <v>1327</v>
      </c>
      <c r="E95" s="1">
        <f>HYPERLINK("https://projectreporter.nih.gov/project_info_description.cfm?aid=9688596","Puberty, neural systems for social processes, and early adolescent mental health: A longitudinal neuroimaging study")</f>
      </c>
      <c r="F95" t="s">
        <v>1328</v>
      </c>
      <c r="G95" t="s">
        <v>83</v>
      </c>
      <c r="H95" t="n">
        <v>9688596.0</v>
      </c>
      <c r="I95" t="s">
        <v>347</v>
      </c>
      <c r="J95" t="s">
        <v>1329</v>
      </c>
      <c r="K95" s="1">
        <f>HYPERLINK("https://projectreporter.nih.gov/project_info_details.cfm?aid=9688596","5R01MH107418-05")</f>
      </c>
      <c r="L95" t="n">
        <v>5.0</v>
      </c>
      <c r="M95" t="s">
        <v>55</v>
      </c>
      <c r="N95" t="s">
        <v>86</v>
      </c>
      <c r="O95" t="s">
        <v>1330</v>
      </c>
      <c r="P95" t="s">
        <v>58</v>
      </c>
      <c r="Q95" t="s">
        <v>0</v>
      </c>
      <c r="R95" t="s">
        <v>163</v>
      </c>
      <c r="S95" t="s">
        <v>60</v>
      </c>
      <c r="T95" t="s">
        <v>518</v>
      </c>
      <c r="U95" t="s">
        <v>1331</v>
      </c>
      <c r="V95" t="s">
        <v>0</v>
      </c>
      <c r="W95" t="n">
        <v>9761591.0</v>
      </c>
      <c r="X95" t="s">
        <v>1332</v>
      </c>
      <c r="Y95" t="s">
        <v>94</v>
      </c>
      <c r="Z95" t="s">
        <v>274</v>
      </c>
      <c r="AA95" t="s">
        <v>167</v>
      </c>
      <c r="AB95" t="s">
        <v>1333</v>
      </c>
      <c r="AC95" t="s">
        <v>68</v>
      </c>
      <c r="AD95" t="n">
        <v>44.035646</v>
      </c>
      <c r="AE95" t="n">
        <v>-123.05255</v>
      </c>
      <c r="AF95" t="s">
        <v>1334</v>
      </c>
      <c r="AG95" t="s">
        <v>1335</v>
      </c>
      <c r="AH95" t="s">
        <v>1336</v>
      </c>
      <c r="AI95" t="s">
        <v>525</v>
      </c>
      <c r="AJ95" t="s">
        <v>267</v>
      </c>
      <c r="AK95" t="s">
        <v>1337</v>
      </c>
      <c r="AL95" t="s">
        <v>75</v>
      </c>
      <c r="AM95" t="s">
        <v>76</v>
      </c>
      <c r="AN95" t="s">
        <v>835</v>
      </c>
      <c r="AO95" t="s">
        <v>518</v>
      </c>
      <c r="AP95" t="s">
        <v>105</v>
      </c>
      <c r="AQ95" t="s">
        <v>79</v>
      </c>
      <c r="AR95" t="n">
        <v>2019.0</v>
      </c>
      <c r="AS95" t="s">
        <v>83</v>
      </c>
      <c r="AT95" t="n">
        <v>593023.0</v>
      </c>
      <c r="AU95" t="s">
        <v>0</v>
      </c>
    </row>
    <row r="96">
      <c r="A96" t="n">
        <v>379.0</v>
      </c>
      <c r="B96" t="s">
        <v>1338</v>
      </c>
      <c r="C96" t="s">
        <v>1339</v>
      </c>
      <c r="D96" t="s">
        <v>1340</v>
      </c>
      <c r="E96" s="1">
        <f>HYPERLINK("https://projectreporter.nih.gov/project_info_description.cfm?aid=8668164","Brazilian HIV/STI Prevention for Adolescents with Mental Health Disorder")</f>
      </c>
      <c r="F96" t="s">
        <v>1341</v>
      </c>
      <c r="G96" t="s">
        <v>83</v>
      </c>
      <c r="H96" t="n">
        <v>8668164.0</v>
      </c>
      <c r="I96" t="s">
        <v>1342</v>
      </c>
      <c r="J96" t="s">
        <v>588</v>
      </c>
      <c r="K96" s="1">
        <f>HYPERLINK("https://projectreporter.nih.gov/project_info_details.cfm?aid=8668164","5R34MH094163-03")</f>
      </c>
      <c r="L96" t="n">
        <v>5.0</v>
      </c>
      <c r="M96" t="s">
        <v>589</v>
      </c>
      <c r="N96" t="s">
        <v>86</v>
      </c>
      <c r="O96" t="s">
        <v>1343</v>
      </c>
      <c r="P96" t="s">
        <v>182</v>
      </c>
      <c r="Q96" t="s">
        <v>0</v>
      </c>
      <c r="R96" t="s">
        <v>183</v>
      </c>
      <c r="S96" t="s">
        <v>1344</v>
      </c>
      <c r="T96" t="s">
        <v>313</v>
      </c>
      <c r="U96" t="s">
        <v>1345</v>
      </c>
      <c r="V96" t="s">
        <v>0</v>
      </c>
      <c r="W96" t="n">
        <v>6072016.0</v>
      </c>
      <c r="X96" t="s">
        <v>1346</v>
      </c>
      <c r="Y96" t="s">
        <v>1347</v>
      </c>
      <c r="Z96" t="s">
        <v>280</v>
      </c>
      <c r="AA96" t="s">
        <v>66</v>
      </c>
      <c r="AB96" t="s">
        <v>296</v>
      </c>
      <c r="AC96" t="s">
        <v>68</v>
      </c>
      <c r="AD96" t="n">
        <v>40.842455</v>
      </c>
      <c r="AE96" t="n">
        <v>-73.944838</v>
      </c>
      <c r="AF96" t="s">
        <v>297</v>
      </c>
      <c r="AG96" t="s">
        <v>298</v>
      </c>
      <c r="AH96" t="s">
        <v>171</v>
      </c>
      <c r="AI96" t="s">
        <v>172</v>
      </c>
      <c r="AJ96" t="s">
        <v>73</v>
      </c>
      <c r="AK96" t="s">
        <v>299</v>
      </c>
      <c r="AL96" t="s">
        <v>75</v>
      </c>
      <c r="AM96" t="s">
        <v>76</v>
      </c>
      <c r="AN96" t="s">
        <v>343</v>
      </c>
      <c r="AO96" t="s">
        <v>313</v>
      </c>
      <c r="AP96" t="s">
        <v>105</v>
      </c>
      <c r="AQ96" t="s">
        <v>79</v>
      </c>
      <c r="AR96" t="n">
        <v>2014.0</v>
      </c>
      <c r="AS96" t="s">
        <v>83</v>
      </c>
      <c r="AT96" t="n">
        <v>233926.0</v>
      </c>
      <c r="AU96" t="s">
        <v>0</v>
      </c>
    </row>
    <row r="97">
      <c r="A97" t="n">
        <v>379.0</v>
      </c>
      <c r="B97" t="s">
        <v>1348</v>
      </c>
      <c r="C97" t="s">
        <v>1349</v>
      </c>
      <c r="D97" t="s">
        <v>1350</v>
      </c>
      <c r="E97" s="1">
        <f>HYPERLINK("https://projectreporter.nih.gov/project_info_description.cfm?aid=9150679","FIU-ABCD: Pathways and Mechanisms to Addiction in the Latino Youth of South Florida")</f>
      </c>
      <c r="F97" t="s">
        <v>1351</v>
      </c>
      <c r="G97" t="s">
        <v>210</v>
      </c>
      <c r="H97" t="n">
        <v>9150679.0</v>
      </c>
      <c r="I97" t="s">
        <v>1352</v>
      </c>
      <c r="J97" t="s">
        <v>1353</v>
      </c>
      <c r="K97" s="1">
        <f>HYPERLINK("https://projectreporter.nih.gov/project_info_details.cfm?aid=9150679","5U01DA041156-02")</f>
      </c>
      <c r="L97" t="n">
        <v>5.0</v>
      </c>
      <c r="M97" t="s">
        <v>948</v>
      </c>
      <c r="N97" t="s">
        <v>213</v>
      </c>
      <c r="O97" t="s">
        <v>1354</v>
      </c>
      <c r="P97" t="s">
        <v>88</v>
      </c>
      <c r="Q97" t="s">
        <v>0</v>
      </c>
      <c r="R97" t="s">
        <v>1355</v>
      </c>
      <c r="S97" t="s">
        <v>1356</v>
      </c>
      <c r="T97" t="s">
        <v>104</v>
      </c>
      <c r="U97" t="s">
        <v>1357</v>
      </c>
      <c r="V97" t="s">
        <v>0</v>
      </c>
      <c r="W97" t="n">
        <v>7894274.0</v>
      </c>
      <c r="X97" t="s">
        <v>1358</v>
      </c>
      <c r="Y97" t="s">
        <v>1359</v>
      </c>
      <c r="Z97" t="s">
        <v>1360</v>
      </c>
      <c r="AA97" t="s">
        <v>167</v>
      </c>
      <c r="AB97" t="s">
        <v>1361</v>
      </c>
      <c r="AC97" t="s">
        <v>68</v>
      </c>
      <c r="AD97" t="n">
        <v>25.775337</v>
      </c>
      <c r="AE97" t="n">
        <v>-80.209809</v>
      </c>
      <c r="AF97" t="s">
        <v>1362</v>
      </c>
      <c r="AG97" t="s">
        <v>1363</v>
      </c>
      <c r="AH97" t="s">
        <v>1364</v>
      </c>
      <c r="AI97" t="s">
        <v>833</v>
      </c>
      <c r="AJ97" t="s">
        <v>267</v>
      </c>
      <c r="AK97" t="s">
        <v>1365</v>
      </c>
      <c r="AL97" t="s">
        <v>75</v>
      </c>
      <c r="AM97" t="s">
        <v>76</v>
      </c>
      <c r="AN97" t="s">
        <v>1192</v>
      </c>
      <c r="AO97" t="s">
        <v>497</v>
      </c>
      <c r="AP97" t="s">
        <v>227</v>
      </c>
      <c r="AQ97" t="s">
        <v>79</v>
      </c>
      <c r="AR97" t="n">
        <v>2016.0</v>
      </c>
      <c r="AS97" t="s">
        <v>210</v>
      </c>
      <c r="AT97" t="n">
        <v>1880834.0</v>
      </c>
      <c r="AU97" t="s">
        <v>0</v>
      </c>
    </row>
    <row r="98">
      <c r="A98" t="n">
        <v>377.0</v>
      </c>
      <c r="B98" t="s">
        <v>48</v>
      </c>
      <c r="C98" t="s">
        <v>1366</v>
      </c>
      <c r="D98" t="s">
        <v>1367</v>
      </c>
      <c r="E98" s="1">
        <f>HYPERLINK("https://projectreporter.nih.gov/project_info_description.cfm?aid=9796430","Simulated Conversation Training for Mental Healthcare Providers to Improve Care for Transgender and Gender Nonconforming Individuals.")</f>
      </c>
      <c r="F98" t="s">
        <v>1368</v>
      </c>
      <c r="G98" t="s">
        <v>305</v>
      </c>
      <c r="H98" t="n">
        <v>9796430.0</v>
      </c>
      <c r="I98" t="s">
        <v>1369</v>
      </c>
      <c r="J98" t="s">
        <v>1370</v>
      </c>
      <c r="K98" s="1">
        <f>HYPERLINK("https://projectreporter.nih.gov/project_info_details.cfm?aid=9796430","1R44MD014112-01")</f>
      </c>
      <c r="L98" t="n">
        <v>1.0</v>
      </c>
      <c r="M98" t="s">
        <v>1371</v>
      </c>
      <c r="N98" t="s">
        <v>309</v>
      </c>
      <c r="O98" t="s">
        <v>1372</v>
      </c>
      <c r="P98" t="s">
        <v>113</v>
      </c>
      <c r="Q98" t="s">
        <v>0</v>
      </c>
      <c r="R98" t="s">
        <v>1373</v>
      </c>
      <c r="S98" t="s">
        <v>1369</v>
      </c>
      <c r="T98" t="s">
        <v>248</v>
      </c>
      <c r="U98" t="s">
        <v>1374</v>
      </c>
      <c r="V98" t="s">
        <v>0</v>
      </c>
      <c r="W98" t="n">
        <v>8077920.0</v>
      </c>
      <c r="X98" t="s">
        <v>1375</v>
      </c>
      <c r="Y98" t="s">
        <v>94</v>
      </c>
      <c r="Z98" t="s">
        <v>182</v>
      </c>
      <c r="AA98" t="s">
        <v>66</v>
      </c>
      <c r="AB98" t="s">
        <v>1376</v>
      </c>
      <c r="AC98" t="s">
        <v>68</v>
      </c>
      <c r="AD98" t="n">
        <v>39.180768</v>
      </c>
      <c r="AE98" t="n">
        <v>-76.847888</v>
      </c>
      <c r="AF98" t="s">
        <v>1377</v>
      </c>
      <c r="AG98" t="s">
        <v>1378</v>
      </c>
      <c r="AH98" t="s">
        <v>1379</v>
      </c>
      <c r="AI98" t="s">
        <v>309</v>
      </c>
      <c r="AJ98" t="s">
        <v>1173</v>
      </c>
      <c r="AK98" t="s">
        <v>1380</v>
      </c>
      <c r="AL98" t="s">
        <v>75</v>
      </c>
      <c r="AM98" t="s">
        <v>76</v>
      </c>
      <c r="AN98" t="s">
        <v>1369</v>
      </c>
      <c r="AO98" t="s">
        <v>248</v>
      </c>
      <c r="AP98" t="s">
        <v>323</v>
      </c>
      <c r="AQ98" t="s">
        <v>1175</v>
      </c>
      <c r="AR98" t="n">
        <v>2019.0</v>
      </c>
      <c r="AS98" t="s">
        <v>305</v>
      </c>
      <c r="AT98" t="n">
        <v>199035.0</v>
      </c>
      <c r="AU98" t="s">
        <v>0</v>
      </c>
    </row>
    <row r="99">
      <c r="A99" t="n">
        <v>377.0</v>
      </c>
      <c r="B99" t="s">
        <v>1381</v>
      </c>
      <c r="C99" t="s">
        <v>1382</v>
      </c>
      <c r="D99" t="s">
        <v>1383</v>
      </c>
      <c r="E99" s="1">
        <f>HYPERLINK("https://projectreporter.nih.gov/project_info_description.cfm?aid=9675392","Diversity Supplement to Expand Southwest Hub for Suicide Prevention Research to Fort Peck Indian Reservation")</f>
      </c>
      <c r="F99" t="s">
        <v>1384</v>
      </c>
      <c r="G99" t="s">
        <v>83</v>
      </c>
      <c r="H99" t="n">
        <v>9675392.0</v>
      </c>
      <c r="I99" t="s">
        <v>1385</v>
      </c>
      <c r="J99" t="s">
        <v>1386</v>
      </c>
      <c r="K99" s="1">
        <f>HYPERLINK("https://projectreporter.nih.gov/project_info_details.cfm?aid=9675392","3U19MH113136-02S1")</f>
      </c>
      <c r="L99" t="n">
        <v>3.0</v>
      </c>
      <c r="M99" t="s">
        <v>654</v>
      </c>
      <c r="N99" t="s">
        <v>86</v>
      </c>
      <c r="O99" t="s">
        <v>1387</v>
      </c>
      <c r="P99" t="s">
        <v>88</v>
      </c>
      <c r="Q99" t="s">
        <v>515</v>
      </c>
      <c r="R99" t="s">
        <v>663</v>
      </c>
      <c r="S99" t="s">
        <v>1388</v>
      </c>
      <c r="T99" t="s">
        <v>1389</v>
      </c>
      <c r="U99" t="s">
        <v>1390</v>
      </c>
      <c r="V99" t="s">
        <v>0</v>
      </c>
      <c r="W99" t="n">
        <v>8820111.0</v>
      </c>
      <c r="X99" t="s">
        <v>1391</v>
      </c>
      <c r="Y99" t="s">
        <v>1392</v>
      </c>
      <c r="Z99" t="s">
        <v>137</v>
      </c>
      <c r="AA99" t="s">
        <v>335</v>
      </c>
      <c r="AB99" t="s">
        <v>1393</v>
      </c>
      <c r="AC99" t="s">
        <v>68</v>
      </c>
      <c r="AD99" t="n">
        <v>39.298737</v>
      </c>
      <c r="AE99" t="n">
        <v>-76.594342</v>
      </c>
      <c r="AF99" t="s">
        <v>1394</v>
      </c>
      <c r="AG99" t="s">
        <v>1395</v>
      </c>
      <c r="AH99" t="s">
        <v>1396</v>
      </c>
      <c r="AI99" t="s">
        <v>309</v>
      </c>
      <c r="AJ99" t="s">
        <v>341</v>
      </c>
      <c r="AK99" t="s">
        <v>1397</v>
      </c>
      <c r="AL99" t="s">
        <v>75</v>
      </c>
      <c r="AM99" t="s">
        <v>76</v>
      </c>
      <c r="AN99" t="s">
        <v>527</v>
      </c>
      <c r="AO99" t="s">
        <v>84</v>
      </c>
      <c r="AP99" t="s">
        <v>105</v>
      </c>
      <c r="AQ99" t="s">
        <v>79</v>
      </c>
      <c r="AR99" t="n">
        <v>2018.0</v>
      </c>
      <c r="AS99" t="s">
        <v>83</v>
      </c>
      <c r="AT99" t="n">
        <v>211897.0</v>
      </c>
      <c r="AU99" t="s">
        <v>0</v>
      </c>
    </row>
    <row r="100">
      <c r="A100" t="n">
        <v>377.0</v>
      </c>
      <c r="B100" t="s">
        <v>1398</v>
      </c>
      <c r="C100" t="s">
        <v>1399</v>
      </c>
      <c r="D100" t="s">
        <v>1400</v>
      </c>
      <c r="E100" s="1">
        <f>HYPERLINK("https://projectreporter.nih.gov/project_info_description.cfm?aid=8260542","Substance use by African-American youth: Spanning two complementary datasets")</f>
      </c>
      <c r="F100" t="s">
        <v>1401</v>
      </c>
      <c r="G100" t="s">
        <v>210</v>
      </c>
      <c r="H100" t="n">
        <v>8260542.0</v>
      </c>
      <c r="I100" t="s">
        <v>1402</v>
      </c>
      <c r="J100" t="s">
        <v>1403</v>
      </c>
      <c r="K100" s="1">
        <f>HYPERLINK("https://projectreporter.nih.gov/project_info_details.cfm?aid=8260542","5F31DA029335-03")</f>
      </c>
      <c r="L100" t="n">
        <v>5.0</v>
      </c>
      <c r="M100" t="s">
        <v>366</v>
      </c>
      <c r="N100" t="s">
        <v>213</v>
      </c>
      <c r="O100" t="s">
        <v>1404</v>
      </c>
      <c r="P100" t="s">
        <v>182</v>
      </c>
      <c r="Q100" t="s">
        <v>0</v>
      </c>
      <c r="R100" t="s">
        <v>215</v>
      </c>
      <c r="S100" t="s">
        <v>1405</v>
      </c>
      <c r="T100" t="s">
        <v>1406</v>
      </c>
      <c r="U100" t="s">
        <v>1407</v>
      </c>
      <c r="V100" t="s">
        <v>0</v>
      </c>
      <c r="W100" t="n">
        <v>1.0081496E7</v>
      </c>
      <c r="X100" t="s">
        <v>1408</v>
      </c>
      <c r="Y100" t="s">
        <v>94</v>
      </c>
      <c r="Z100" t="s">
        <v>116</v>
      </c>
      <c r="AA100" t="s">
        <v>167</v>
      </c>
      <c r="AB100" t="s">
        <v>968</v>
      </c>
      <c r="AC100" t="s">
        <v>68</v>
      </c>
      <c r="AD100" t="n">
        <v>42.244005</v>
      </c>
      <c r="AE100" t="n">
        <v>-83.73915</v>
      </c>
      <c r="AF100" t="s">
        <v>969</v>
      </c>
      <c r="AG100" t="s">
        <v>970</v>
      </c>
      <c r="AH100" t="s">
        <v>971</v>
      </c>
      <c r="AI100" t="s">
        <v>972</v>
      </c>
      <c r="AJ100" t="s">
        <v>267</v>
      </c>
      <c r="AK100" t="s">
        <v>973</v>
      </c>
      <c r="AL100" t="s">
        <v>75</v>
      </c>
      <c r="AM100" t="s">
        <v>76</v>
      </c>
      <c r="AN100" t="s">
        <v>1409</v>
      </c>
      <c r="AO100" t="s">
        <v>1406</v>
      </c>
      <c r="AP100" t="s">
        <v>227</v>
      </c>
      <c r="AQ100" t="s">
        <v>123</v>
      </c>
      <c r="AR100" t="n">
        <v>2012.0</v>
      </c>
      <c r="AS100" t="s">
        <v>210</v>
      </c>
      <c r="AT100" t="n">
        <v>6558.0</v>
      </c>
      <c r="AU100" t="s">
        <v>0</v>
      </c>
    </row>
    <row r="101">
      <c r="A101" t="n">
        <v>377.0</v>
      </c>
      <c r="B101" t="s">
        <v>1410</v>
      </c>
      <c r="C101" t="s">
        <v>1411</v>
      </c>
      <c r="D101" t="s">
        <v>1412</v>
      </c>
      <c r="E101" s="1">
        <f>HYPERLINK("https://projectreporter.nih.gov/project_info_description.cfm?aid=7674808","Competence-Enhancement Prevention Program Effects on Later Risky Sexual Behavior")</f>
      </c>
      <c r="F101" t="s">
        <v>304</v>
      </c>
      <c r="G101" t="s">
        <v>210</v>
      </c>
      <c r="H101" t="n">
        <v>7674808.0</v>
      </c>
      <c r="I101" t="s">
        <v>1413</v>
      </c>
      <c r="J101" t="s">
        <v>0</v>
      </c>
      <c r="K101" s="1">
        <f>HYPERLINK("https://projectreporter.nih.gov/project_info_details.cfm?aid=7674808","5R01DA023890-03")</f>
      </c>
      <c r="L101" t="n">
        <v>5.0</v>
      </c>
      <c r="M101" t="s">
        <v>55</v>
      </c>
      <c r="N101" t="s">
        <v>213</v>
      </c>
      <c r="O101" t="s">
        <v>1414</v>
      </c>
      <c r="P101" t="s">
        <v>182</v>
      </c>
      <c r="Q101" t="s">
        <v>0</v>
      </c>
      <c r="R101" t="s">
        <v>1415</v>
      </c>
      <c r="S101" t="s">
        <v>1416</v>
      </c>
      <c r="T101" t="s">
        <v>1417</v>
      </c>
      <c r="U101" t="s">
        <v>135</v>
      </c>
      <c r="V101" t="s">
        <v>0</v>
      </c>
      <c r="W101" t="n">
        <v>1911372.0</v>
      </c>
      <c r="X101" t="s">
        <v>1418</v>
      </c>
      <c r="Y101" t="s">
        <v>94</v>
      </c>
      <c r="Z101" t="s">
        <v>116</v>
      </c>
      <c r="AA101" t="s">
        <v>335</v>
      </c>
      <c r="AB101" t="s">
        <v>1419</v>
      </c>
      <c r="AC101" t="s">
        <v>68</v>
      </c>
      <c r="AD101" t="n">
        <v>40.76491</v>
      </c>
      <c r="AE101" t="n">
        <v>-73.955055</v>
      </c>
      <c r="AF101" t="s">
        <v>1420</v>
      </c>
      <c r="AG101" t="s">
        <v>1421</v>
      </c>
      <c r="AH101" t="s">
        <v>171</v>
      </c>
      <c r="AI101" t="s">
        <v>172</v>
      </c>
      <c r="AJ101" t="s">
        <v>101</v>
      </c>
      <c r="AK101" t="s">
        <v>1422</v>
      </c>
      <c r="AL101" t="s">
        <v>75</v>
      </c>
      <c r="AM101" t="s">
        <v>76</v>
      </c>
      <c r="AN101" t="s">
        <v>1423</v>
      </c>
      <c r="AO101" t="s">
        <v>1417</v>
      </c>
      <c r="AP101" t="s">
        <v>227</v>
      </c>
      <c r="AQ101" t="s">
        <v>79</v>
      </c>
      <c r="AR101" t="n">
        <v>2009.0</v>
      </c>
      <c r="AS101" t="s">
        <v>210</v>
      </c>
      <c r="AT101" t="n">
        <v>484492.0</v>
      </c>
      <c r="AU101" t="s">
        <v>0</v>
      </c>
    </row>
    <row r="102">
      <c r="A102" t="n">
        <v>376.0</v>
      </c>
      <c r="B102" t="s">
        <v>1424</v>
      </c>
      <c r="C102" t="s">
        <v>1425</v>
      </c>
      <c r="D102" t="s">
        <v>1426</v>
      </c>
      <c r="E102" s="1">
        <f>HYPERLINK("https://projectreporter.nih.gov/project_info_description.cfm?aid=9549875","Studies in Youths &amp; Young Adults with Obesity &amp; T2DM  (07-DK-0115)")</f>
      </c>
      <c r="F102" t="s">
        <v>304</v>
      </c>
      <c r="G102" t="s">
        <v>1427</v>
      </c>
      <c r="H102" t="n">
        <v>9549875.0</v>
      </c>
      <c r="I102" t="s">
        <v>0</v>
      </c>
      <c r="J102" t="s">
        <v>0</v>
      </c>
      <c r="K102" s="1">
        <f>HYPERLINK("https://projectreporter.nih.gov/project_info_details.cfm?aid=9549875","1ZIADK047049-11")</f>
      </c>
      <c r="L102" t="n">
        <v>1.0</v>
      </c>
      <c r="M102" t="s">
        <v>978</v>
      </c>
      <c r="N102" t="s">
        <v>1428</v>
      </c>
      <c r="O102" t="s">
        <v>1429</v>
      </c>
      <c r="P102" t="s">
        <v>1430</v>
      </c>
      <c r="Q102" t="s">
        <v>0</v>
      </c>
      <c r="R102" t="s">
        <v>66</v>
      </c>
      <c r="S102" t="s">
        <v>0</v>
      </c>
      <c r="T102" t="s">
        <v>0</v>
      </c>
      <c r="U102" t="s">
        <v>0</v>
      </c>
      <c r="V102" t="s">
        <v>0</v>
      </c>
      <c r="W102" t="n">
        <v>6570283.0</v>
      </c>
      <c r="X102" t="s">
        <v>1431</v>
      </c>
      <c r="Y102" t="s">
        <v>94</v>
      </c>
      <c r="Z102" t="s">
        <v>304</v>
      </c>
      <c r="AA102" t="s">
        <v>66</v>
      </c>
      <c r="AB102" t="s">
        <v>0</v>
      </c>
      <c r="AC102" t="s">
        <v>0</v>
      </c>
      <c r="AD102" t="s">
        <v>0</v>
      </c>
      <c r="AE102" t="s">
        <v>0</v>
      </c>
      <c r="AF102" t="s">
        <v>0</v>
      </c>
      <c r="AG102" t="s">
        <v>0</v>
      </c>
      <c r="AH102" t="s">
        <v>0</v>
      </c>
      <c r="AI102" t="s">
        <v>0</v>
      </c>
      <c r="AJ102" t="s">
        <v>66</v>
      </c>
      <c r="AK102" t="s">
        <v>0</v>
      </c>
      <c r="AL102" t="s">
        <v>0</v>
      </c>
      <c r="AM102" t="s">
        <v>76</v>
      </c>
      <c r="AN102" t="s">
        <v>0</v>
      </c>
      <c r="AO102" t="s">
        <v>0</v>
      </c>
      <c r="AP102" t="s">
        <v>0</v>
      </c>
      <c r="AQ102" t="s">
        <v>981</v>
      </c>
      <c r="AR102" t="n">
        <v>2017.0</v>
      </c>
      <c r="AS102" t="s">
        <v>1427</v>
      </c>
      <c r="AT102" t="n">
        <v>315781.0</v>
      </c>
      <c r="AU102" t="s">
        <v>0</v>
      </c>
    </row>
    <row r="103">
      <c r="A103" t="n">
        <v>376.0</v>
      </c>
      <c r="B103" t="s">
        <v>48</v>
      </c>
      <c r="C103" t="s">
        <v>76</v>
      </c>
      <c r="D103" t="s">
        <v>1432</v>
      </c>
      <c r="E103" s="1">
        <f>HYPERLINK("https://projectreporter.nih.gov/project_info_description.cfm?aid=9710467","Integrating Mental Health into a HIV Clinic to Improve Outcomes in Tanzanian Youth")</f>
      </c>
      <c r="F103" t="s">
        <v>1433</v>
      </c>
      <c r="G103" t="s">
        <v>1434</v>
      </c>
      <c r="H103" t="n">
        <v>9710467.0</v>
      </c>
      <c r="I103" t="s">
        <v>1435</v>
      </c>
      <c r="J103" t="s">
        <v>1436</v>
      </c>
      <c r="K103" s="1">
        <f>HYPERLINK("https://projectreporter.nih.gov/project_info_details.cfm?aid=9710467","5K01TW009985-05")</f>
      </c>
      <c r="L103" t="n">
        <v>5.0</v>
      </c>
      <c r="M103" t="s">
        <v>1057</v>
      </c>
      <c r="N103" t="s">
        <v>1437</v>
      </c>
      <c r="O103" t="s">
        <v>1438</v>
      </c>
      <c r="P103" t="s">
        <v>58</v>
      </c>
      <c r="Q103" t="s">
        <v>0</v>
      </c>
      <c r="R103" t="s">
        <v>1439</v>
      </c>
      <c r="S103" t="s">
        <v>1440</v>
      </c>
      <c r="T103" t="s">
        <v>61</v>
      </c>
      <c r="U103" t="s">
        <v>1441</v>
      </c>
      <c r="V103" t="s">
        <v>0</v>
      </c>
      <c r="W103" t="n">
        <v>1.0952146E7</v>
      </c>
      <c r="X103" t="s">
        <v>1442</v>
      </c>
      <c r="Y103" t="s">
        <v>94</v>
      </c>
      <c r="Z103" t="s">
        <v>113</v>
      </c>
      <c r="AA103" t="s">
        <v>117</v>
      </c>
      <c r="AB103" t="s">
        <v>576</v>
      </c>
      <c r="AC103" t="s">
        <v>68</v>
      </c>
      <c r="AD103" t="n">
        <v>36.006824</v>
      </c>
      <c r="AE103" t="n">
        <v>-78.924579</v>
      </c>
      <c r="AF103" t="s">
        <v>577</v>
      </c>
      <c r="AG103" t="s">
        <v>578</v>
      </c>
      <c r="AH103" t="s">
        <v>579</v>
      </c>
      <c r="AI103" t="s">
        <v>580</v>
      </c>
      <c r="AJ103" t="s">
        <v>101</v>
      </c>
      <c r="AK103" t="s">
        <v>581</v>
      </c>
      <c r="AL103" t="s">
        <v>75</v>
      </c>
      <c r="AM103" t="s">
        <v>76</v>
      </c>
      <c r="AN103" t="s">
        <v>77</v>
      </c>
      <c r="AO103" t="s">
        <v>61</v>
      </c>
      <c r="AP103" t="s">
        <v>1443</v>
      </c>
      <c r="AQ103" t="s">
        <v>324</v>
      </c>
      <c r="AR103" t="n">
        <v>2019.0</v>
      </c>
      <c r="AS103" t="s">
        <v>1434</v>
      </c>
      <c r="AT103" t="n">
        <v>133050.0</v>
      </c>
      <c r="AU103" t="s">
        <v>0</v>
      </c>
    </row>
    <row r="104">
      <c r="A104" t="n">
        <v>375.0</v>
      </c>
      <c r="B104" t="s">
        <v>48</v>
      </c>
      <c r="C104" t="s">
        <v>76</v>
      </c>
      <c r="D104" t="s">
        <v>1444</v>
      </c>
      <c r="E104" s="1">
        <f>HYPERLINK("https://projectreporter.nih.gov/project_info_description.cfm?aid=9711053","Reproductive Consequences of Steroid Hormone Administration")</f>
      </c>
      <c r="F104" t="s">
        <v>1445</v>
      </c>
      <c r="G104" t="s">
        <v>52</v>
      </c>
      <c r="H104" t="n">
        <v>9711053.0</v>
      </c>
      <c r="I104" t="s">
        <v>1446</v>
      </c>
      <c r="J104" t="s">
        <v>1447</v>
      </c>
      <c r="K104" s="1">
        <f>HYPERLINK("https://projectreporter.nih.gov/project_info_details.cfm?aid=9711053","1R01HD098233-01")</f>
      </c>
      <c r="L104" t="n">
        <v>1.0</v>
      </c>
      <c r="M104" t="s">
        <v>55</v>
      </c>
      <c r="N104" t="s">
        <v>56</v>
      </c>
      <c r="O104" t="s">
        <v>1448</v>
      </c>
      <c r="P104" t="s">
        <v>113</v>
      </c>
      <c r="Q104" t="s">
        <v>0</v>
      </c>
      <c r="R104" t="s">
        <v>1449</v>
      </c>
      <c r="S104" t="s">
        <v>835</v>
      </c>
      <c r="T104" t="s">
        <v>1450</v>
      </c>
      <c r="U104" t="s">
        <v>1217</v>
      </c>
      <c r="V104" t="s">
        <v>0</v>
      </c>
      <c r="W104" t="n">
        <v>1.1513033E7</v>
      </c>
      <c r="X104" t="s">
        <v>1451</v>
      </c>
      <c r="Y104" t="s">
        <v>94</v>
      </c>
      <c r="Z104" t="s">
        <v>116</v>
      </c>
      <c r="AA104" t="s">
        <v>1062</v>
      </c>
      <c r="AB104" t="s">
        <v>968</v>
      </c>
      <c r="AC104" t="s">
        <v>68</v>
      </c>
      <c r="AD104" t="n">
        <v>42.244005</v>
      </c>
      <c r="AE104" t="n">
        <v>-83.73915</v>
      </c>
      <c r="AF104" t="s">
        <v>969</v>
      </c>
      <c r="AG104" t="s">
        <v>970</v>
      </c>
      <c r="AH104" t="s">
        <v>971</v>
      </c>
      <c r="AI104" t="s">
        <v>972</v>
      </c>
      <c r="AJ104" t="s">
        <v>101</v>
      </c>
      <c r="AK104" t="s">
        <v>973</v>
      </c>
      <c r="AL104" t="s">
        <v>75</v>
      </c>
      <c r="AM104" t="s">
        <v>76</v>
      </c>
      <c r="AN104" t="s">
        <v>835</v>
      </c>
      <c r="AO104" t="s">
        <v>518</v>
      </c>
      <c r="AP104" t="s">
        <v>78</v>
      </c>
      <c r="AQ104" t="s">
        <v>79</v>
      </c>
      <c r="AR104" t="n">
        <v>2019.0</v>
      </c>
      <c r="AS104" t="s">
        <v>52</v>
      </c>
      <c r="AT104" t="n">
        <v>500407.0</v>
      </c>
      <c r="AU104" t="s">
        <v>0</v>
      </c>
    </row>
    <row r="105">
      <c r="A105" t="n">
        <v>375.0</v>
      </c>
      <c r="B105" t="s">
        <v>1452</v>
      </c>
      <c r="C105" t="s">
        <v>76</v>
      </c>
      <c r="D105" t="s">
        <v>1453</v>
      </c>
      <c r="E105" s="1">
        <f>HYPERLINK("https://projectreporter.nih.gov/project_info_description.cfm?aid=9402630","U.S. Transgender Population Health Survey")</f>
      </c>
      <c r="F105" t="s">
        <v>1454</v>
      </c>
      <c r="G105" t="s">
        <v>52</v>
      </c>
      <c r="H105" t="n">
        <v>9402630.0</v>
      </c>
      <c r="I105" t="s">
        <v>1455</v>
      </c>
      <c r="J105" t="s">
        <v>85</v>
      </c>
      <c r="K105" s="1">
        <f>HYPERLINK("https://projectreporter.nih.gov/project_info_details.cfm?aid=9402630","5R01HD090468-02")</f>
      </c>
      <c r="L105" t="n">
        <v>5.0</v>
      </c>
      <c r="M105" t="s">
        <v>55</v>
      </c>
      <c r="N105" t="s">
        <v>56</v>
      </c>
      <c r="O105" t="s">
        <v>1456</v>
      </c>
      <c r="P105" t="s">
        <v>88</v>
      </c>
      <c r="Q105" t="s">
        <v>0</v>
      </c>
      <c r="R105" t="s">
        <v>292</v>
      </c>
      <c r="S105" t="s">
        <v>1457</v>
      </c>
      <c r="T105" t="s">
        <v>134</v>
      </c>
      <c r="U105" t="s">
        <v>277</v>
      </c>
      <c r="V105" t="s">
        <v>0</v>
      </c>
      <c r="W105" t="n">
        <v>6203389.0</v>
      </c>
      <c r="X105" t="s">
        <v>1458</v>
      </c>
      <c r="Y105" t="s">
        <v>94</v>
      </c>
      <c r="Z105" t="s">
        <v>404</v>
      </c>
      <c r="AA105" t="s">
        <v>436</v>
      </c>
      <c r="AB105" t="s">
        <v>405</v>
      </c>
      <c r="AC105" t="s">
        <v>68</v>
      </c>
      <c r="AD105" t="n">
        <v>34.071312</v>
      </c>
      <c r="AE105" t="n">
        <v>-118.443545</v>
      </c>
      <c r="AF105" t="s">
        <v>406</v>
      </c>
      <c r="AG105" t="s">
        <v>407</v>
      </c>
      <c r="AH105" t="s">
        <v>71</v>
      </c>
      <c r="AI105" t="s">
        <v>72</v>
      </c>
      <c r="AJ105" t="s">
        <v>376</v>
      </c>
      <c r="AK105" t="s">
        <v>408</v>
      </c>
      <c r="AL105" t="s">
        <v>75</v>
      </c>
      <c r="AM105" t="s">
        <v>76</v>
      </c>
      <c r="AN105" t="s">
        <v>144</v>
      </c>
      <c r="AO105" t="s">
        <v>134</v>
      </c>
      <c r="AP105" t="s">
        <v>78</v>
      </c>
      <c r="AQ105" t="s">
        <v>79</v>
      </c>
      <c r="AR105" t="n">
        <v>2018.0</v>
      </c>
      <c r="AS105" t="s">
        <v>52</v>
      </c>
      <c r="AT105" t="n">
        <v>403291.0</v>
      </c>
      <c r="AU105" t="s">
        <v>0</v>
      </c>
    </row>
    <row r="106">
      <c r="A106" t="n">
        <v>374.0</v>
      </c>
      <c r="B106" t="s">
        <v>48</v>
      </c>
      <c r="C106" t="s">
        <v>76</v>
      </c>
      <c r="D106" t="s">
        <v>1459</v>
      </c>
      <c r="E106" s="1">
        <f>HYPERLINK("https://projectreporter.nih.gov/project_info_description.cfm?aid=9692033","Implementing School Nursing Strategies to Reduce LGBTI Adolescent Suicide")</f>
      </c>
      <c r="F106" t="s">
        <v>1460</v>
      </c>
      <c r="G106" t="s">
        <v>52</v>
      </c>
      <c r="H106" t="n">
        <v>9692033.0</v>
      </c>
      <c r="I106" t="s">
        <v>1461</v>
      </c>
      <c r="J106" t="s">
        <v>54</v>
      </c>
      <c r="K106" s="1">
        <f>HYPERLINK("https://projectreporter.nih.gov/project_info_details.cfm?aid=9692033","5R01HD083399-04")</f>
      </c>
      <c r="L106" t="n">
        <v>5.0</v>
      </c>
      <c r="M106" t="s">
        <v>55</v>
      </c>
      <c r="N106" t="s">
        <v>56</v>
      </c>
      <c r="O106" t="s">
        <v>1462</v>
      </c>
      <c r="P106" t="s">
        <v>274</v>
      </c>
      <c r="Q106" t="s">
        <v>0</v>
      </c>
      <c r="R106" t="s">
        <v>431</v>
      </c>
      <c r="S106" t="s">
        <v>1463</v>
      </c>
      <c r="T106" t="s">
        <v>1151</v>
      </c>
      <c r="U106" t="s">
        <v>1464</v>
      </c>
      <c r="V106" t="s">
        <v>0</v>
      </c>
      <c r="W106" t="n">
        <v>1989094.0</v>
      </c>
      <c r="X106" t="s">
        <v>1465</v>
      </c>
      <c r="Y106" t="s">
        <v>1466</v>
      </c>
      <c r="Z106" t="s">
        <v>274</v>
      </c>
      <c r="AA106" t="s">
        <v>66</v>
      </c>
      <c r="AB106" t="s">
        <v>595</v>
      </c>
      <c r="AC106" t="s">
        <v>68</v>
      </c>
      <c r="AD106" t="n">
        <v>39.050676</v>
      </c>
      <c r="AE106" t="n">
        <v>-76.93727</v>
      </c>
      <c r="AF106" t="s">
        <v>596</v>
      </c>
      <c r="AG106" t="s">
        <v>597</v>
      </c>
      <c r="AH106" t="s">
        <v>598</v>
      </c>
      <c r="AI106" t="s">
        <v>309</v>
      </c>
      <c r="AJ106" t="s">
        <v>192</v>
      </c>
      <c r="AK106" t="s">
        <v>599</v>
      </c>
      <c r="AL106" t="s">
        <v>75</v>
      </c>
      <c r="AM106" t="s">
        <v>76</v>
      </c>
      <c r="AN106" t="s">
        <v>835</v>
      </c>
      <c r="AO106" t="s">
        <v>518</v>
      </c>
      <c r="AP106" t="s">
        <v>78</v>
      </c>
      <c r="AQ106" t="s">
        <v>79</v>
      </c>
      <c r="AR106" t="n">
        <v>2019.0</v>
      </c>
      <c r="AS106" t="s">
        <v>52</v>
      </c>
      <c r="AT106" t="n">
        <v>602560.0</v>
      </c>
      <c r="AU106" t="s">
        <v>0</v>
      </c>
    </row>
  </sheetData>
  <pageMargins bottom="0.75" footer="0.3" header="0.3" left="0.7" right="0.7" top="0.75"/>
  <drawing r:id="rId1"/>
</worksheet>
</file>

<file path=docProps/app.xml><?xml version="1.0" encoding="utf-8"?>
<Properties xmlns="http://schemas.openxmlformats.org/officeDocument/2006/extended-properties">
  <Application>Apache POI</Application>
  <Company/>
  <Manager/>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2019-12-10T22:17:50Z</dcterms:created>
  <dc:creator>Apache POI</dc:creator>
</cp:coreProperties>
</file>