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ngshiting/Desktop/USCResearch/Mpox_2024/Code/"/>
    </mc:Choice>
  </mc:AlternateContent>
  <xr:revisionPtr revIDLastSave="0" documentId="13_ncr:1_{258EEDD6-1873-0D4F-AF25-4EEC8ECA5809}" xr6:coauthVersionLast="47" xr6:coauthVersionMax="47" xr10:uidLastSave="{00000000-0000-0000-0000-000000000000}"/>
  <bookViews>
    <workbookView xWindow="0" yWindow="760" windowWidth="30240" windowHeight="18880" firstSheet="6" activeTab="18" xr2:uid="{0FC07F83-73B4-4DAF-8E73-97E4E92D674F}"/>
  </bookViews>
  <sheets>
    <sheet name="SimDuration" sheetId="1" r:id="rId1"/>
    <sheet name="InflowProportion" sheetId="2" r:id="rId2"/>
    <sheet name="AgeDef" sheetId="3" r:id="rId3"/>
    <sheet name="RaceDef" sheetId="5" r:id="rId4"/>
    <sheet name="RaceProp" sheetId="6" r:id="rId5"/>
    <sheet name="InfectCalib_6wks" sheetId="28" r:id="rId6"/>
    <sheet name="InfectCalib_1" sheetId="34" r:id="rId7"/>
    <sheet name="InfectCalib_2" sheetId="33" r:id="rId8"/>
    <sheet name="InfectCalib_3" sheetId="7" r:id="rId9"/>
    <sheet name="HIVInfect" sheetId="32" r:id="rId10"/>
    <sheet name="YoungInfect" sheetId="19" r:id="rId11"/>
    <sheet name="MidInfect" sheetId="30" r:id="rId12"/>
    <sheet name="OldInfect" sheetId="27" r:id="rId13"/>
    <sheet name="RaceInfect" sheetId="21" r:id="rId14"/>
    <sheet name="RaceAware" sheetId="25" r:id="rId15"/>
    <sheet name="RaceVax" sheetId="26" r:id="rId16"/>
    <sheet name="isolationAdh" sheetId="23" r:id="rId17"/>
    <sheet name="Calibration Values Used" sheetId="15" r:id="rId18"/>
    <sheet name="FilePaths" sheetId="1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3" i="15" l="1"/>
  <c r="A1" i="7" l="1"/>
  <c r="A1" i="33"/>
  <c r="A1" i="34"/>
  <c r="D106" i="15"/>
  <c r="D105" i="15" l="1"/>
  <c r="D90" i="15"/>
  <c r="D89" i="15"/>
  <c r="D88" i="15"/>
  <c r="D30" i="15"/>
  <c r="D31" i="15"/>
  <c r="D32" i="15"/>
  <c r="D33" i="15"/>
  <c r="D29" i="15"/>
  <c r="D27" i="15"/>
  <c r="D26" i="15"/>
  <c r="D25" i="15"/>
  <c r="D21" i="15"/>
  <c r="D20" i="15"/>
  <c r="D19" i="15"/>
  <c r="D17" i="15"/>
  <c r="D16" i="15"/>
  <c r="D15" i="15"/>
  <c r="D14" i="15"/>
  <c r="D13" i="15"/>
  <c r="E5" i="15"/>
  <c r="D7" i="15" s="1"/>
  <c r="D104" i="15" l="1"/>
  <c r="A1" i="32"/>
  <c r="A1" i="19"/>
  <c r="A1" i="30"/>
  <c r="D116" i="15"/>
  <c r="A1" i="28"/>
  <c r="A1" i="27"/>
  <c r="A2" i="26"/>
  <c r="A3" i="26"/>
  <c r="A1" i="26"/>
  <c r="D108" i="15"/>
  <c r="E35" i="15"/>
  <c r="D41" i="15" s="1"/>
  <c r="A2" i="21"/>
  <c r="A3" i="21"/>
  <c r="A1" i="21"/>
  <c r="F45" i="15"/>
  <c r="A2" i="6"/>
  <c r="A3" i="6"/>
  <c r="A1" i="6"/>
  <c r="D36" i="15" l="1"/>
  <c r="D35" i="15"/>
  <c r="A1" i="2" s="1"/>
  <c r="D38" i="15"/>
  <c r="D42" i="15"/>
  <c r="D39" i="15"/>
  <c r="D40" i="15"/>
  <c r="D37" i="15"/>
</calcChain>
</file>

<file path=xl/sharedStrings.xml><?xml version="1.0" encoding="utf-8"?>
<sst xmlns="http://schemas.openxmlformats.org/spreadsheetml/2006/main" count="503" uniqueCount="315">
  <si>
    <t>Birth Dynamics</t>
  </si>
  <si>
    <t>P(15-19)</t>
  </si>
  <si>
    <t>P(Black)</t>
  </si>
  <si>
    <t>P(Hispanic)</t>
  </si>
  <si>
    <t>P(White)</t>
  </si>
  <si>
    <t>P(Susceptible)</t>
  </si>
  <si>
    <t>Proportion Susceptible</t>
  </si>
  <si>
    <t>Infection Dynamics</t>
  </si>
  <si>
    <t>Mixing Matrix</t>
  </si>
  <si>
    <t>Contains values for probability of mixing with different races</t>
  </si>
  <si>
    <t>LA LGBT Data</t>
  </si>
  <si>
    <t>Calculated</t>
  </si>
  <si>
    <t>Transition Probabilities</t>
  </si>
  <si>
    <t>Category</t>
  </si>
  <si>
    <t>Variable Name</t>
  </si>
  <si>
    <t>Description</t>
  </si>
  <si>
    <t>Max</t>
  </si>
  <si>
    <t>Source</t>
  </si>
  <si>
    <t>Notes</t>
  </si>
  <si>
    <t>Initial Population</t>
  </si>
  <si>
    <t>Population Size</t>
  </si>
  <si>
    <t>Number of Adult MSM (15-100)</t>
  </si>
  <si>
    <t>./state_matrices/</t>
  </si>
  <si>
    <t xml:space="preserve">Demographic Variable Categories </t>
  </si>
  <si>
    <t>Demographic for mixing characteristics</t>
  </si>
  <si>
    <t>Number of partners based on mixing stratification</t>
  </si>
  <si>
    <t>Folder to store state matrices</t>
  </si>
  <si>
    <t>Natural Death rate for males in LA</t>
  </si>
  <si>
    <t>P(Natural Death | Age)</t>
  </si>
  <si>
    <t>From LA life and death life table</t>
  </si>
  <si>
    <t>https://www.ncbi.nlm.nih.gov/pmc/articles/PMC3001824/#!po=36.1111</t>
  </si>
  <si>
    <t>input/mixing_matrix_TRUE3.csv</t>
  </si>
  <si>
    <t>input/demog_var_def3.csv</t>
  </si>
  <si>
    <t>input/mixing_matrix_def3.csv</t>
  </si>
  <si>
    <t>Black Relative Risk</t>
  </si>
  <si>
    <t>Hispanic Relative Risk</t>
  </si>
  <si>
    <t>White Relative Risk</t>
  </si>
  <si>
    <t>relative for Black</t>
  </si>
  <si>
    <t>Relative for Hispanic</t>
  </si>
  <si>
    <t>Relative for white</t>
  </si>
  <si>
    <t>Value</t>
  </si>
  <si>
    <t>P(20-29)</t>
  </si>
  <si>
    <t>P(30-39)</t>
  </si>
  <si>
    <t>P(40-49)</t>
  </si>
  <si>
    <t>P(50-59)</t>
  </si>
  <si>
    <t>P(60-69)</t>
  </si>
  <si>
    <t>P(70-79)</t>
  </si>
  <si>
    <t>P(80-100)</t>
  </si>
  <si>
    <t>https://censusreporter.org/profiles/05000US06037-los-angeles-county-ca/</t>
  </si>
  <si>
    <t>calibration constant</t>
  </si>
  <si>
    <t>input/partners_weekly.csv</t>
  </si>
  <si>
    <t>input/deathNatural_weekly.csv</t>
  </si>
  <si>
    <t>Susceptible get vaccinated</t>
  </si>
  <si>
    <t>Asymptomatic people get diagnosed</t>
  </si>
  <si>
    <t>Symptomatic people get diagnosed</t>
  </si>
  <si>
    <t>input/aware_asym.csv</t>
  </si>
  <si>
    <t>input/aware_sym.csv</t>
  </si>
  <si>
    <t>Asymptomatic to symptomatic</t>
  </si>
  <si>
    <t>Symptomatic to recover</t>
  </si>
  <si>
    <t>P(asymptomatic -&gt; symptomatic)</t>
  </si>
  <si>
    <t>P(symptomatic -&gt; recover | treatment)</t>
  </si>
  <si>
    <t>P(symptomatic -&gt; recover | no treatment)</t>
  </si>
  <si>
    <t>Probability from asymptomatic to symptomatic</t>
  </si>
  <si>
    <t>Probability from symptomatic to recover if on treatment</t>
  </si>
  <si>
    <t>Probability from symptomatic to recover if not on treatment</t>
  </si>
  <si>
    <t>input/asym2sym.csv</t>
  </si>
  <si>
    <t>input/sym2recover.csv</t>
  </si>
  <si>
    <t>input/treatmentOn.csv</t>
  </si>
  <si>
    <t>Off treatment to on treatment</t>
  </si>
  <si>
    <t>https://www.cdc.gov/poxvirus/monkeypox/clinicians/smallpox-vaccine.html</t>
  </si>
  <si>
    <t>Proportion of MSM Population age</t>
  </si>
  <si>
    <t>input file</t>
  </si>
  <si>
    <t>https://www.ama-assn.org/delivering-care/public-health/monkeypox-physician-frequently-asked-questions</t>
  </si>
  <si>
    <t>Susceptible got 1st dose get 2nd dose vaccine</t>
  </si>
  <si>
    <t>input/vac_2.csv</t>
  </si>
  <si>
    <t>Probability from vaccinated asymptomatic to recovered</t>
  </si>
  <si>
    <t>P(asymptomatic -&gt; recover | vaccinated within a week)</t>
  </si>
  <si>
    <t>Asymptomatic to recover</t>
  </si>
  <si>
    <t>input/asym2recover.csv</t>
  </si>
  <si>
    <t>Birth dynamics</t>
  </si>
  <si>
    <t>Proportion of infected in this age group</t>
  </si>
  <si>
    <t>http://publichealth.lacounty.gov/media/monkeypox/data/index.htm</t>
  </si>
  <si>
    <t>P(aware | asymptomatic)</t>
  </si>
  <si>
    <t>Probability that asymptomatic become aware of their status</t>
  </si>
  <si>
    <t>Probability that symptomatic become aware of their status</t>
  </si>
  <si>
    <t>P(start treatment | sym, aware)</t>
  </si>
  <si>
    <t>assume there are 260,000 sus</t>
  </si>
  <si>
    <t>input/vac_1_wk1.csv</t>
  </si>
  <si>
    <t>input/vac_1_wk2.csv</t>
  </si>
  <si>
    <t>input/vac_1_wk3.csv</t>
  </si>
  <si>
    <t>Proportion Black among infected</t>
  </si>
  <si>
    <t>Proportion Hispanic among infected</t>
  </si>
  <si>
    <t>https://www.who.int/news-room/fact-sheets/detail/monkeypox#:~:text=skin%20slough%20off.-,Monkeypox%20is%20usually%20a%20self%2Dlimited%20disease%20with%20the%20symptoms,status%20and%20nature%20of%20complications.</t>
  </si>
  <si>
    <t>cdc gives the same number</t>
  </si>
  <si>
    <t>https://www1.nyc.gov/assets/doh/downloads/pdf/monkeypox/jynneos-vaccine-faq.pdf</t>
  </si>
  <si>
    <t>it may also take 5 - 21 days</t>
  </si>
  <si>
    <t>https://www.nejm.org/doi/full/10.1056/NEJMoa1817307</t>
  </si>
  <si>
    <t>https://www.health.ny.gov/diseases/communicable/zoonoses/monkeypox/docs/jynneos_what_to_expect.pdf</t>
  </si>
  <si>
    <t>probability that people get 1st dose vaccine if asym and diagnosed</t>
  </si>
  <si>
    <t>days the immune response takes after the 1st dose</t>
  </si>
  <si>
    <t>days the immune response takes after the 2nd dose</t>
  </si>
  <si>
    <t>Assumption</t>
  </si>
  <si>
    <t>https://www.sciencedirect.com/science/article/pii/S1473309922002286</t>
  </si>
  <si>
    <t>P(isolation | sym, aware)</t>
  </si>
  <si>
    <t>input/isolationOn.csv</t>
  </si>
  <si>
    <t>not isolated to isolated</t>
  </si>
  <si>
    <t>Intervention parameters</t>
  </si>
  <si>
    <t>https://www.nejm.org/doi/full/10.1056/NEJMoa2207324</t>
  </si>
  <si>
    <t>https://www.nejm.org/doi/full/10.1056/NEJMoa2207323
https://www.cdc.gov/poxvirus/monkeypox/clinicians/clinical-recognition.html
https://www.cdc.gov/poxvirus/monkeypox/clinicians/technical-report.html</t>
  </si>
  <si>
    <t>Calibrated</t>
  </si>
  <si>
    <t>From previous model's simulation result</t>
  </si>
  <si>
    <t>Number of susceptible MSM</t>
  </si>
  <si>
    <t>Number of recovered MSM</t>
  </si>
  <si>
    <t>Number of asymptomatic MSM that are aware of their status</t>
  </si>
  <si>
    <t>Number of symptomatic MSM that are aware of their status</t>
  </si>
  <si>
    <t>n_aware_asymp</t>
  </si>
  <si>
    <t>n_asymp</t>
  </si>
  <si>
    <t>n_symp</t>
  </si>
  <si>
    <t>n_recovered</t>
  </si>
  <si>
    <t>n_sus</t>
  </si>
  <si>
    <t>n_aware_symp</t>
  </si>
  <si>
    <t>Calculated using assumption on P(aware|asymptomatic)</t>
  </si>
  <si>
    <t>n_vaccinated_1st</t>
  </si>
  <si>
    <t>n_vaccinated_2nd</t>
  </si>
  <si>
    <t>mutually exclusive with monkeypox infected</t>
  </si>
  <si>
    <t>Number of MSM get 1st dose vaccine this week</t>
  </si>
  <si>
    <t>Number of MSM get 2nd dose vaccine this week</t>
  </si>
  <si>
    <t>Normalized</t>
  </si>
  <si>
    <t>Min/Orignial</t>
  </si>
  <si>
    <t>Weekly number of partners by particular demographic</t>
  </si>
  <si>
    <t>Natural Death for by age</t>
  </si>
  <si>
    <t>Calculated, half of the full efficacy</t>
  </si>
  <si>
    <t>Vaccine immune response (1st dose)</t>
  </si>
  <si>
    <t>Vaccine immune response (2nd dose)</t>
  </si>
  <si>
    <t>Vaccine days between dosage</t>
  </si>
  <si>
    <t>P(vaccinated =1 | sus or unaware asym, week 1)</t>
  </si>
  <si>
    <t>P(vaccinated =1 | sus or unaware asym, week 2)</t>
  </si>
  <si>
    <t>probability that susceptible or unaware asymtomatic get 1st vaccine, Jul3-Jul9</t>
  </si>
  <si>
    <t>probability that susceptible or unaware asymtomatic get 1st vaccine, Jul10-Jul16</t>
  </si>
  <si>
    <t>P(vaccinated =1 | asym, aware=1)</t>
  </si>
  <si>
    <t>Proportion Black among new entrants</t>
  </si>
  <si>
    <t>Proportion Hispanic among new entrants</t>
  </si>
  <si>
    <t>Proportion White among new entrants</t>
  </si>
  <si>
    <t>Vaccine efficacy for 1st dose JYNNEOS</t>
  </si>
  <si>
    <t>Vaccine efficacy for 2nd dose JYNNEOS</t>
  </si>
  <si>
    <t>days to get 2nd dose after 1st dose</t>
  </si>
  <si>
    <t>Calculated from LADPH data</t>
  </si>
  <si>
    <t>people can become aware by being tested or told by infected close contacts</t>
  </si>
  <si>
    <t>Probability for aware people that are isolated</t>
  </si>
  <si>
    <t>including 13% hospitalized people + some self-isolated people</t>
  </si>
  <si>
    <t>LADPH data</t>
  </si>
  <si>
    <t xml:space="preserve">2x vax </t>
  </si>
  <si>
    <t>P(vaccinated =1 | sus or unaware asym, week 10 and after)</t>
  </si>
  <si>
    <t>Prob. of getting vax is two times higher after week 10 (starting from Sep 4)</t>
  </si>
  <si>
    <t>High treatment</t>
  </si>
  <si>
    <t>Probability for diagnosed people that get on treatment</t>
  </si>
  <si>
    <t>All intervention starts from week 10 (Sep 4)</t>
  </si>
  <si>
    <t>High testing</t>
  </si>
  <si>
    <t>Medium testing</t>
  </si>
  <si>
    <t>Status Quo</t>
  </si>
  <si>
    <t>High isolation</t>
  </si>
  <si>
    <t>Model Scenario</t>
  </si>
  <si>
    <t>https://www.sciencedaily.com/releases/2022/08/220826131220.htm</t>
  </si>
  <si>
    <t>input/iso_policy.csv</t>
  </si>
  <si>
    <t>no vax policy</t>
  </si>
  <si>
    <t>input/vac_policy_no.csv</t>
  </si>
  <si>
    <t>use parameters listed above</t>
  </si>
  <si>
    <t>The initial week the simulation starts</t>
  </si>
  <si>
    <t>week 0</t>
  </si>
  <si>
    <t>Proportion of vaccinated are Black</t>
  </si>
  <si>
    <t>Proportion of vaccinated are Hispanic</t>
  </si>
  <si>
    <t>Proportion of vaccinated are White</t>
  </si>
  <si>
    <t>Proportion of vaccinated in this age group</t>
  </si>
  <si>
    <t>assuming 15-29 is same as 18-29</t>
  </si>
  <si>
    <t>data taken on Sep 4</t>
  </si>
  <si>
    <t>Number of symptomatic MSM in Jun26-Jul2 (Week 0)</t>
  </si>
  <si>
    <t>Number of asymptomatic MSM in Jun26-Jul2 (Week 0)</t>
  </si>
  <si>
    <t>no vax policy for second dose</t>
  </si>
  <si>
    <t>input/vac2_policy_no.csv</t>
  </si>
  <si>
    <t>P(B|vax=1)</t>
  </si>
  <si>
    <t>P(60+ | infected)</t>
  </si>
  <si>
    <t>P(30-39 | infected)</t>
  </si>
  <si>
    <t>P(40-49 | infected)</t>
  </si>
  <si>
    <t>P(50-59 | infected)</t>
  </si>
  <si>
    <t>P(Black | infected)</t>
  </si>
  <si>
    <t>P(H | infected)</t>
  </si>
  <si>
    <t>P(W | infected)</t>
  </si>
  <si>
    <t>P(H|vax=1)</t>
  </si>
  <si>
    <t>P(W|vax=1)</t>
  </si>
  <si>
    <t>P(30-39 | vax=1)</t>
  </si>
  <si>
    <t>P(40-49 | vax=1)</t>
  </si>
  <si>
    <t>P(50-59 | vax=1)</t>
  </si>
  <si>
    <t>P(60+ | vax=1)</t>
  </si>
  <si>
    <t>a constant that scales the probability of infection</t>
  </si>
  <si>
    <t>a constant that scales the probability of getting 1st dose for this race group</t>
  </si>
  <si>
    <t>relative calibration constant for age 35-44</t>
  </si>
  <si>
    <t>data taken on Sep 21</t>
  </si>
  <si>
    <t>sensitivity analysis beta = 0.3</t>
  </si>
  <si>
    <t>sensitivity analysis beta = 0.5</t>
  </si>
  <si>
    <t>sensitivity analysis beta = 0.9</t>
  </si>
  <si>
    <t>input/sens0.3_asym2sym.csv</t>
  </si>
  <si>
    <t>input/sens0.5_asym2sym.csv</t>
  </si>
  <si>
    <t>input/sens0.9_asym2sym.csv</t>
  </si>
  <si>
    <t>probability that susceptible or unaware asymtomatic get 1st vaccine, Jul17-Aug28</t>
  </si>
  <si>
    <t>probability that susceptible or unaware asymtomatic get 1st vaccine, after Aug 28</t>
  </si>
  <si>
    <t>P(vaccinated =1 | sus or unaware asym, week 3-8)</t>
  </si>
  <si>
    <t>P(vaccinated =1 | sus or unaware asym, week 9 and 9+)</t>
  </si>
  <si>
    <t>probability of getting 2nd dose after 4-6 weeks of 1st dose</t>
  </si>
  <si>
    <t>P(vaccinated =2 | vac_wk=4/5/6, vac=1, aware=0)</t>
  </si>
  <si>
    <t>relative calibration constant for age 15-24</t>
  </si>
  <si>
    <t>relative calibration constant for age 45+</t>
  </si>
  <si>
    <t>input/iso_policy2.csv</t>
  </si>
  <si>
    <t>isolation policy 0.5</t>
  </si>
  <si>
    <t>isolation policy 0.75</t>
  </si>
  <si>
    <t>input/vac_policy_05x.csv</t>
  </si>
  <si>
    <t>input/vac_policy_2xblack.csv</t>
  </si>
  <si>
    <t>PLWH Relative Risk</t>
  </si>
  <si>
    <t>Relative for plwh</t>
  </si>
  <si>
    <t>input/vac_policy_2xhis.csv</t>
  </si>
  <si>
    <t>input/vac_policy_2xplwh.csv</t>
  </si>
  <si>
    <t>vax policy (no vax)</t>
  </si>
  <si>
    <t>input/vac_policy_novax.csv</t>
  </si>
  <si>
    <t>input/vac_1_wk1_2xplwh.csv</t>
  </si>
  <si>
    <t>input/vac_1_wk2_2xplwh.csv</t>
  </si>
  <si>
    <t>input/vac_1_wk3_2xplwh.csv</t>
  </si>
  <si>
    <t>input/vac_1_wk9_2xplwh.csv</t>
  </si>
  <si>
    <t>Susceptible get vaccinated PLWH (high)</t>
  </si>
  <si>
    <t>input/vac_1_wk1_hiplwh.csv</t>
  </si>
  <si>
    <t>input/vac_1_wk2_hiplwh.csv</t>
  </si>
  <si>
    <t>input/vac_1_wk9_hiplwh.csv</t>
  </si>
  <si>
    <t>vax policy (0.5x) starting from a certain week</t>
  </si>
  <si>
    <t>vax policy (2x black)  starting from a certain week</t>
  </si>
  <si>
    <t>vax policy (2x hispanic) starting from a certain week</t>
  </si>
  <si>
    <t>vax policy (2x plwh) starting from a certain week</t>
  </si>
  <si>
    <t>PLWH get 2x vaccinated</t>
  </si>
  <si>
    <t>Black get 2x vax</t>
  </si>
  <si>
    <t>input/vac_1_wk1_2xB.csv</t>
  </si>
  <si>
    <t>input/vac_1_wk2_2xB.csv</t>
  </si>
  <si>
    <t>input/vac_1_wk3_2xB.csv</t>
  </si>
  <si>
    <t>input/vac_1_wk9_2xB.csv</t>
  </si>
  <si>
    <t>Hispanic get 2x vax</t>
  </si>
  <si>
    <t>White get 2x vax</t>
  </si>
  <si>
    <t>input/vac_1_wk1_2xH.csv</t>
  </si>
  <si>
    <t>input/vac_1_wk2_2xH.csv</t>
  </si>
  <si>
    <t>input/vac_1_wk3_2xH.csv</t>
  </si>
  <si>
    <t>input/vac_1_wk9_2xH.csv</t>
  </si>
  <si>
    <t>input/vac_1_wk1_2xW.csv</t>
  </si>
  <si>
    <t>input/vac_1_wk2_2xW.csv</t>
  </si>
  <si>
    <t>input/vac_1_wk3_2xW.csv</t>
  </si>
  <si>
    <t>input/vac_1_wk9_2xW.csv</t>
  </si>
  <si>
    <t>double vax week 1</t>
  </si>
  <si>
    <t>double vax week 2</t>
  </si>
  <si>
    <t>double vax week 3</t>
  </si>
  <si>
    <t>double vax week 9</t>
  </si>
  <si>
    <t>input/vac_1_wk1_double.csv</t>
  </si>
  <si>
    <t>input/vac_1_wk2_double.csv</t>
  </si>
  <si>
    <t>input/vac_1_wk3_double.csv</t>
  </si>
  <si>
    <t>input/vac_1_wk9_double.csv</t>
  </si>
  <si>
    <t>half vax week 1</t>
  </si>
  <si>
    <t>half vax week 2</t>
  </si>
  <si>
    <t>half vax week 3</t>
  </si>
  <si>
    <t>half vax week 9</t>
  </si>
  <si>
    <t>input/vac_1_wk1_half.csv</t>
  </si>
  <si>
    <t>input/vac_1_wk2_half.csv</t>
  </si>
  <si>
    <t>input/vac_1_wk3_half.csv</t>
  </si>
  <si>
    <t>input/vac_1_wk9_half.csv</t>
  </si>
  <si>
    <t>0.37, 0.425</t>
  </si>
  <si>
    <t>0.69, 0.85</t>
  </si>
  <si>
    <t>https://www1.nyc.gov/assets/doh/downloads/pdf/monkeypox/jynneos-vaccine-faq.pdf
https://www.cdc.gov/poxvirus/monkeypox/cases-data/mpx-JYENNOS-vaccine-effectiveness.html
https://www.thelancet.com/journals/laninf/article/PIIS1473-3099(23)00057-9/fulltext#seccestitle150</t>
  </si>
  <si>
    <t>Vaccine efficacy (1st dose) | immunocompetent</t>
  </si>
  <si>
    <t>Vaccine efficacy (2nd dose) | immunocompetent</t>
  </si>
  <si>
    <t>Vaccine efficacy (1st dose) | immunocompromised</t>
  </si>
  <si>
    <t>Vaccine efficacy (2nd dose) | immunocompromised</t>
  </si>
  <si>
    <t>Proportion White among infected</t>
  </si>
  <si>
    <t>P(aware | asymptomatic, HIV unaware)</t>
  </si>
  <si>
    <t>P(aware | asymptomatic, HIV aware)</t>
  </si>
  <si>
    <t>calculated</t>
  </si>
  <si>
    <t>P(18-29 | infected)</t>
  </si>
  <si>
    <t>number of people diagnosed and infected in week 0=35, week 1=64, assume 95% cases are MSM</t>
  </si>
  <si>
    <t>P(18-29 | vax=1)</t>
  </si>
  <si>
    <t>Num Partners, &lt;19</t>
  </si>
  <si>
    <t>Num Partners, 20-24</t>
  </si>
  <si>
    <t>Num Partners, 25-34</t>
  </si>
  <si>
    <t>Num Partners, 35-44</t>
  </si>
  <si>
    <t>Num Partners, 45-54</t>
  </si>
  <si>
    <t>Num Partners, 55-75</t>
  </si>
  <si>
    <t>Num Partners, 76-100</t>
  </si>
  <si>
    <t>Vaccination Efficacy</t>
  </si>
  <si>
    <t>P(aware | symptomatic, age 30-39)</t>
  </si>
  <si>
    <t>P(aware | symptomatic, age 40-49)</t>
  </si>
  <si>
    <t>P(aware | symptomatic, age 50-59)</t>
  </si>
  <si>
    <t>P(aware | symptomatic, age 15-29)</t>
  </si>
  <si>
    <t>P(aware | symptomatic, age 60+)</t>
  </si>
  <si>
    <t>Black Vax 1 (starting from wk3)</t>
  </si>
  <si>
    <t>Hispanic Vax 1 (starting from wk3)</t>
  </si>
  <si>
    <t>White Vax 1 (starting from wk3)</t>
  </si>
  <si>
    <t>vax age 2 (30-39) (starting from wk3)</t>
  </si>
  <si>
    <t>vax age 1 (15-29) (starting from wk3)</t>
  </si>
  <si>
    <t>vax age 3 (40-49) (starting from wk3)</t>
  </si>
  <si>
    <t>vax age 4 (50-59) (starting from wk3)</t>
  </si>
  <si>
    <t>vax age 5 (60+) (starting from wk3)</t>
  </si>
  <si>
    <t>P(HIV+|infected)</t>
  </si>
  <si>
    <t>estimated from data</t>
  </si>
  <si>
    <t>assumed it to be No. of people that were diagnosed up to initial week</t>
  </si>
  <si>
    <t>foi/Relative risk for age 15-24</t>
  </si>
  <si>
    <t>foi/Relative risk for age 25-44</t>
  </si>
  <si>
    <t>foi/Relative risk for age 55+</t>
  </si>
  <si>
    <t>https://www.ncbi.nlm.nih.gov/pmc/articles/PMC10389504/</t>
  </si>
  <si>
    <t>https://www-cdc-gov.libproxy2.usc.edu/mmwr/volumes/72/wr/mm7220a3.htm?s_cid=mm7220a3_e&amp;ACSTrackingID=USCDC_921-DM105671&amp;ACSTrackingLabel=This%20Week%20in%20MMWR%3A%20Vol.%2072%2C%20May%2019%2C%202023&amp;deliveryName=USCDC_921-DM105671</t>
  </si>
  <si>
    <t>Force of infection (week 1)</t>
  </si>
  <si>
    <t>Force of infection (week 2-x)</t>
  </si>
  <si>
    <t>Force of infection (week x+1 and after)</t>
  </si>
  <si>
    <t>input/vac_1_new2.csv</t>
  </si>
  <si>
    <t>3/12/23 as week 1</t>
  </si>
  <si>
    <t>input/init_2024_new3.csv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</si>
</sst>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0"/>
      <name val="Calibri (Body)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1" applyFill="1" applyAlignment="1"/>
    <xf numFmtId="0" fontId="2" fillId="0" borderId="0" xfId="1" applyAlignment="1"/>
    <xf numFmtId="0" fontId="3" fillId="0" borderId="0" xfId="1" applyFont="1" applyAlignment="1"/>
    <xf numFmtId="0" fontId="4" fillId="0" borderId="0" xfId="0" applyFont="1"/>
    <xf numFmtId="0" fontId="5" fillId="0" borderId="0" xfId="0" applyFont="1"/>
    <xf numFmtId="0" fontId="2" fillId="0" borderId="0" xfId="1" applyAlignment="1">
      <alignment wrapText="1"/>
    </xf>
    <xf numFmtId="2" fontId="0" fillId="2" borderId="0" xfId="0" applyNumberFormat="1" applyFill="1"/>
    <xf numFmtId="0" fontId="5" fillId="4" borderId="0" xfId="0" applyFont="1" applyFill="1"/>
    <xf numFmtId="0" fontId="7" fillId="0" borderId="0" xfId="1" applyFont="1" applyAlignment="1"/>
    <xf numFmtId="165" fontId="0" fillId="2" borderId="0" xfId="0" applyNumberFormat="1" applyFill="1"/>
    <xf numFmtId="164" fontId="0" fillId="2" borderId="0" xfId="0" applyNumberFormat="1" applyFill="1"/>
    <xf numFmtId="0" fontId="0" fillId="0" borderId="0" xfId="0" applyAlignment="1">
      <alignment horizontal="left" indent="1"/>
    </xf>
    <xf numFmtId="0" fontId="0" fillId="5" borderId="0" xfId="0" applyFill="1"/>
    <xf numFmtId="0" fontId="0" fillId="6" borderId="0" xfId="0" applyFill="1"/>
    <xf numFmtId="166" fontId="0" fillId="2" borderId="0" xfId="0" applyNumberFormat="1" applyFill="1"/>
    <xf numFmtId="0" fontId="5" fillId="6" borderId="0" xfId="0" applyFont="1" applyFill="1"/>
    <xf numFmtId="0" fontId="0" fillId="0" borderId="1" xfId="0" applyBorder="1" applyAlignment="1">
      <alignment horizontal="right"/>
    </xf>
    <xf numFmtId="165" fontId="3" fillId="2" borderId="0" xfId="0" applyNumberFormat="1" applyFont="1" applyFill="1"/>
    <xf numFmtId="2" fontId="0" fillId="0" borderId="0" xfId="0" applyNumberFormat="1"/>
    <xf numFmtId="1" fontId="0" fillId="0" borderId="0" xfId="0" applyNumberFormat="1"/>
    <xf numFmtId="164" fontId="0" fillId="5" borderId="0" xfId="0" applyNumberFormat="1" applyFill="1"/>
    <xf numFmtId="0" fontId="8" fillId="2" borderId="0" xfId="0" applyFont="1" applyFill="1"/>
    <xf numFmtId="1" fontId="8" fillId="4" borderId="0" xfId="0" applyNumberFormat="1" applyFont="1" applyFill="1"/>
    <xf numFmtId="0" fontId="8" fillId="4" borderId="0" xfId="0" applyFont="1" applyFill="1"/>
    <xf numFmtId="164" fontId="0" fillId="3" borderId="0" xfId="0" applyNumberFormat="1" applyFill="1"/>
    <xf numFmtId="166" fontId="0" fillId="3" borderId="0" xfId="0" applyNumberFormat="1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1473309922002286" TargetMode="External"/><Relationship Id="rId13" Type="http://schemas.openxmlformats.org/officeDocument/2006/relationships/hyperlink" Target="https://www.sciencedaily.com/releases/2022/08/220826131220.htm" TargetMode="External"/><Relationship Id="rId3" Type="http://schemas.openxmlformats.org/officeDocument/2006/relationships/hyperlink" Target="https://www.cdc.gov/poxvirus/monkeypox/clinicians/smallpox-vaccine.html" TargetMode="External"/><Relationship Id="rId7" Type="http://schemas.openxmlformats.org/officeDocument/2006/relationships/hyperlink" Target="https://www.who.int/news-room/fact-sheets/detail/monkeypox" TargetMode="External"/><Relationship Id="rId12" Type="http://schemas.openxmlformats.org/officeDocument/2006/relationships/hyperlink" Target="http://publichealth.lacounty.gov/media/monkeypox/data/index.ht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censusreporter.org/profiles/05000US06037-los-angeles-county-ca/" TargetMode="External"/><Relationship Id="rId16" Type="http://schemas.openxmlformats.org/officeDocument/2006/relationships/hyperlink" Target="https://www1.nyc.gov/assets/doh/downloads/pdf/monkeypox/jynneos-vaccine-faq.pdf" TargetMode="External"/><Relationship Id="rId1" Type="http://schemas.openxmlformats.org/officeDocument/2006/relationships/hyperlink" Target="https://www.ncbi.nlm.nih.gov/pmc/articles/PMC3001824/" TargetMode="External"/><Relationship Id="rId6" Type="http://schemas.openxmlformats.org/officeDocument/2006/relationships/hyperlink" Target="https://www.nejm.org/doi/full/10.1056/NEJMoa1817307" TargetMode="External"/><Relationship Id="rId11" Type="http://schemas.openxmlformats.org/officeDocument/2006/relationships/hyperlink" Target="https://www.health.ny.gov/diseases/communicable/zoonoses/monkeypox/docs/jynneos_what_to_expect.pdf" TargetMode="External"/><Relationship Id="rId5" Type="http://schemas.openxmlformats.org/officeDocument/2006/relationships/hyperlink" Target="https://www.ama-assn.org/delivering-care/public-health/monkeypox-physician-frequently-asked-questions" TargetMode="External"/><Relationship Id="rId15" Type="http://schemas.openxmlformats.org/officeDocument/2006/relationships/hyperlink" Target="https://www.health.ny.gov/diseases/communicable/zoonoses/monkeypox/docs/jynneos_what_to_expect.pdf" TargetMode="External"/><Relationship Id="rId10" Type="http://schemas.openxmlformats.org/officeDocument/2006/relationships/hyperlink" Target="http://publichealth.lacounty.gov/media/monkeypox/data/index.htm" TargetMode="External"/><Relationship Id="rId4" Type="http://schemas.openxmlformats.org/officeDocument/2006/relationships/hyperlink" Target="https://www.nejm.org/doi/full/10.1056/NEJMoa2207323" TargetMode="External"/><Relationship Id="rId9" Type="http://schemas.openxmlformats.org/officeDocument/2006/relationships/hyperlink" Target="https://www.nejm.org/doi/full/10.1056/NEJMoa2207324" TargetMode="External"/><Relationship Id="rId14" Type="http://schemas.openxmlformats.org/officeDocument/2006/relationships/hyperlink" Target="https://www.nejm.org/doi/full/10.1056/NEJMoa1817307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F27B-3CE4-4708-BE06-35E229DB7DD3}">
  <dimension ref="A1"/>
  <sheetViews>
    <sheetView workbookViewId="0">
      <selection activeCell="U29" sqref="U29"/>
    </sheetView>
  </sheetViews>
  <sheetFormatPr baseColWidth="10" defaultColWidth="8.83203125" defaultRowHeight="15" x14ac:dyDescent="0.2"/>
  <sheetData>
    <row r="1" spans="1:1" x14ac:dyDescent="0.2">
      <c r="A1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1F93-3CF9-D941-99AC-FF90502E02B7}">
  <dimension ref="A1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>
        <f>'Calibration Values Used'!D62</f>
        <v>3.1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79CB-2193-40D9-AAB5-04FE92E744C9}">
  <dimension ref="A1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" x14ac:dyDescent="0.2">
      <c r="A1">
        <f>'Calibration Values Used'!D63</f>
        <v>2.7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D2BE-0663-7941-9F13-5C81DE25A696}">
  <dimension ref="A1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>
        <f>'Calibration Values Used'!D64</f>
        <v>0.75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2908-5EA3-1248-B1F2-8AED5221B678}">
  <dimension ref="A1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>
        <f>'Calibration Values Used'!D65</f>
        <v>3.8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D295-3C77-4D6D-9F93-80F424B62D04}">
  <dimension ref="A1:A3"/>
  <sheetViews>
    <sheetView workbookViewId="0">
      <selection activeCell="M32" sqref="M32"/>
    </sheetView>
  </sheetViews>
  <sheetFormatPr baseColWidth="10" defaultColWidth="8.83203125" defaultRowHeight="15" x14ac:dyDescent="0.2"/>
  <sheetData>
    <row r="1" spans="1:1" x14ac:dyDescent="0.2">
      <c r="A1">
        <f>'Calibration Values Used'!D59</f>
        <v>1.5</v>
      </c>
    </row>
    <row r="2" spans="1:1" x14ac:dyDescent="0.2">
      <c r="A2">
        <f>'Calibration Values Used'!D60</f>
        <v>1</v>
      </c>
    </row>
    <row r="3" spans="1:1" x14ac:dyDescent="0.2">
      <c r="A3">
        <f>'Calibration Values Used'!D61</f>
        <v>0.8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F4F6-02CC-944A-B8C4-B579A093AC3F}">
  <dimension ref="A1:A3"/>
  <sheetViews>
    <sheetView workbookViewId="0">
      <selection activeCell="H39" sqref="H39"/>
    </sheetView>
  </sheetViews>
  <sheetFormatPr baseColWidth="10" defaultRowHeight="15" x14ac:dyDescent="0.2"/>
  <sheetData>
    <row r="1" spans="1:1" x14ac:dyDescent="0.2">
      <c r="A1">
        <v>0</v>
      </c>
    </row>
    <row r="2" spans="1:1" x14ac:dyDescent="0.2">
      <c r="A2">
        <v>0</v>
      </c>
    </row>
    <row r="3" spans="1:1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2FE6-9A4F-6D4F-BBB5-0DDCD69FC779}">
  <dimension ref="A1:A3"/>
  <sheetViews>
    <sheetView workbookViewId="0">
      <selection activeCell="O28" sqref="O28"/>
    </sheetView>
  </sheetViews>
  <sheetFormatPr baseColWidth="10" defaultRowHeight="15" x14ac:dyDescent="0.2"/>
  <sheetData>
    <row r="1" spans="1:1" x14ac:dyDescent="0.2">
      <c r="A1">
        <f>'Calibration Values Used'!D69</f>
        <v>1</v>
      </c>
    </row>
    <row r="2" spans="1:1" x14ac:dyDescent="0.2">
      <c r="A2">
        <f>'Calibration Values Used'!D70</f>
        <v>0.65</v>
      </c>
    </row>
    <row r="3" spans="1:1" x14ac:dyDescent="0.2">
      <c r="A3">
        <f>'Calibration Values Used'!D71</f>
        <v>1.5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26E4-5FDA-934B-A26A-A7906B32A33F}">
  <dimension ref="A1"/>
  <sheetViews>
    <sheetView workbookViewId="0">
      <selection activeCell="D12" sqref="D12"/>
    </sheetView>
  </sheetViews>
  <sheetFormatPr baseColWidth="10" defaultRowHeight="15" x14ac:dyDescent="0.2"/>
  <sheetData>
    <row r="1" spans="1:1" x14ac:dyDescent="0.2">
      <c r="A1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E546-0B09-4B93-A68E-CC676E16228F}">
  <dimension ref="A1:AB120"/>
  <sheetViews>
    <sheetView zoomScale="125" zoomScaleNormal="125" workbookViewId="0">
      <pane ySplit="1" topLeftCell="A2" activePane="bottomLeft" state="frozen"/>
      <selection pane="bottomLeft" activeCell="C16" sqref="C16"/>
    </sheetView>
  </sheetViews>
  <sheetFormatPr baseColWidth="10" defaultColWidth="8.83203125" defaultRowHeight="15" x14ac:dyDescent="0.2"/>
  <cols>
    <col min="1" max="1" width="20.6640625" bestFit="1" customWidth="1"/>
    <col min="2" max="2" width="45" bestFit="1" customWidth="1"/>
    <col min="3" max="3" width="61.83203125" customWidth="1"/>
    <col min="4" max="4" width="10.6640625" customWidth="1"/>
    <col min="5" max="6" width="12" bestFit="1" customWidth="1"/>
    <col min="7" max="7" width="45" customWidth="1"/>
    <col min="8" max="8" width="84.33203125" bestFit="1" customWidth="1"/>
  </cols>
  <sheetData>
    <row r="1" spans="1:8" x14ac:dyDescent="0.2">
      <c r="A1" s="3" t="s">
        <v>13</v>
      </c>
      <c r="B1" s="3" t="s">
        <v>14</v>
      </c>
      <c r="C1" s="3" t="s">
        <v>15</v>
      </c>
      <c r="D1" s="3" t="s">
        <v>40</v>
      </c>
      <c r="E1" s="3" t="s">
        <v>128</v>
      </c>
      <c r="F1" s="3" t="s">
        <v>16</v>
      </c>
      <c r="G1" s="3" t="s">
        <v>17</v>
      </c>
      <c r="H1" s="3" t="s">
        <v>18</v>
      </c>
    </row>
    <row r="2" spans="1:8" ht="16" customHeight="1" x14ac:dyDescent="0.2">
      <c r="B2" t="s">
        <v>168</v>
      </c>
      <c r="C2" t="s">
        <v>167</v>
      </c>
      <c r="D2" t="s">
        <v>313</v>
      </c>
    </row>
    <row r="3" spans="1:8" x14ac:dyDescent="0.2">
      <c r="A3" t="s">
        <v>19</v>
      </c>
      <c r="B3" t="s">
        <v>20</v>
      </c>
      <c r="C3" t="s">
        <v>21</v>
      </c>
      <c r="D3" s="28">
        <v>262912</v>
      </c>
      <c r="G3" t="s">
        <v>110</v>
      </c>
    </row>
    <row r="4" spans="1:8" x14ac:dyDescent="0.2">
      <c r="A4" t="s">
        <v>19</v>
      </c>
      <c r="B4" t="s">
        <v>116</v>
      </c>
      <c r="C4" t="s">
        <v>176</v>
      </c>
      <c r="D4" s="29">
        <v>202</v>
      </c>
      <c r="G4" t="s">
        <v>109</v>
      </c>
    </row>
    <row r="5" spans="1:8" x14ac:dyDescent="0.2">
      <c r="A5" t="s">
        <v>19</v>
      </c>
      <c r="B5" t="s">
        <v>117</v>
      </c>
      <c r="C5" t="s">
        <v>175</v>
      </c>
      <c r="D5" s="29">
        <v>83</v>
      </c>
      <c r="E5" s="26">
        <f>(33/D97)+(61/D97)</f>
        <v>117.5</v>
      </c>
      <c r="G5" t="s">
        <v>303</v>
      </c>
    </row>
    <row r="6" spans="1:8" x14ac:dyDescent="0.2">
      <c r="A6" t="s">
        <v>19</v>
      </c>
      <c r="B6" t="s">
        <v>118</v>
      </c>
      <c r="C6" t="s">
        <v>112</v>
      </c>
      <c r="D6" s="30">
        <v>0</v>
      </c>
      <c r="G6" t="s">
        <v>101</v>
      </c>
    </row>
    <row r="7" spans="1:8" x14ac:dyDescent="0.2">
      <c r="A7" t="s">
        <v>19</v>
      </c>
      <c r="B7" t="s">
        <v>119</v>
      </c>
      <c r="C7" t="s">
        <v>111</v>
      </c>
      <c r="D7" s="29">
        <f>D3-D4-E5-D6</f>
        <v>262592.5</v>
      </c>
      <c r="G7" t="s">
        <v>11</v>
      </c>
    </row>
    <row r="8" spans="1:8" x14ac:dyDescent="0.2">
      <c r="A8" t="s">
        <v>19</v>
      </c>
      <c r="B8" t="s">
        <v>115</v>
      </c>
      <c r="C8" t="s">
        <v>113</v>
      </c>
      <c r="D8" s="30">
        <v>0</v>
      </c>
      <c r="G8" t="s">
        <v>121</v>
      </c>
    </row>
    <row r="9" spans="1:8" x14ac:dyDescent="0.2">
      <c r="A9" t="s">
        <v>19</v>
      </c>
      <c r="B9" t="s">
        <v>120</v>
      </c>
      <c r="C9" t="s">
        <v>114</v>
      </c>
      <c r="D9" s="30">
        <v>33</v>
      </c>
      <c r="G9" s="7" t="s">
        <v>81</v>
      </c>
      <c r="H9" t="s">
        <v>278</v>
      </c>
    </row>
    <row r="10" spans="1:8" ht="16" x14ac:dyDescent="0.2">
      <c r="A10" t="s">
        <v>19</v>
      </c>
      <c r="B10" t="s">
        <v>122</v>
      </c>
      <c r="C10" t="s">
        <v>125</v>
      </c>
      <c r="D10" s="30">
        <v>176</v>
      </c>
      <c r="G10" t="s">
        <v>150</v>
      </c>
      <c r="H10" s="1" t="s">
        <v>124</v>
      </c>
    </row>
    <row r="11" spans="1:8" x14ac:dyDescent="0.2">
      <c r="A11" t="s">
        <v>19</v>
      </c>
      <c r="B11" t="s">
        <v>123</v>
      </c>
      <c r="C11" t="s">
        <v>126</v>
      </c>
      <c r="D11" s="30">
        <v>0</v>
      </c>
      <c r="G11" t="s">
        <v>101</v>
      </c>
      <c r="H11" s="1"/>
    </row>
    <row r="12" spans="1:8" x14ac:dyDescent="0.2">
      <c r="G12" s="8"/>
    </row>
    <row r="13" spans="1:8" x14ac:dyDescent="0.2">
      <c r="A13" t="s">
        <v>19</v>
      </c>
      <c r="B13" t="s">
        <v>277</v>
      </c>
      <c r="C13" t="s">
        <v>80</v>
      </c>
      <c r="D13" s="13">
        <f>7/35</f>
        <v>0.2</v>
      </c>
      <c r="G13" t="s">
        <v>276</v>
      </c>
      <c r="H13" s="7" t="s">
        <v>81</v>
      </c>
    </row>
    <row r="14" spans="1:8" x14ac:dyDescent="0.2">
      <c r="A14" t="s">
        <v>19</v>
      </c>
      <c r="B14" t="s">
        <v>181</v>
      </c>
      <c r="C14" t="s">
        <v>80</v>
      </c>
      <c r="D14" s="13">
        <f>21/35</f>
        <v>0.6</v>
      </c>
      <c r="G14" s="8"/>
    </row>
    <row r="15" spans="1:8" x14ac:dyDescent="0.2">
      <c r="A15" t="s">
        <v>19</v>
      </c>
      <c r="B15" t="s">
        <v>182</v>
      </c>
      <c r="C15" t="s">
        <v>80</v>
      </c>
      <c r="D15" s="13">
        <f>4/35</f>
        <v>0.11428571428571428</v>
      </c>
      <c r="G15" s="8"/>
    </row>
    <row r="16" spans="1:8" x14ac:dyDescent="0.2">
      <c r="A16" t="s">
        <v>19</v>
      </c>
      <c r="B16" t="s">
        <v>183</v>
      </c>
      <c r="C16" t="s">
        <v>80</v>
      </c>
      <c r="D16" s="13">
        <f>3/35</f>
        <v>8.5714285714285715E-2</v>
      </c>
      <c r="G16" s="8"/>
    </row>
    <row r="17" spans="1:8" x14ac:dyDescent="0.2">
      <c r="A17" t="s">
        <v>19</v>
      </c>
      <c r="B17" t="s">
        <v>180</v>
      </c>
      <c r="C17" t="s">
        <v>80</v>
      </c>
      <c r="D17" s="13">
        <f>0/35</f>
        <v>0</v>
      </c>
      <c r="G17" s="8"/>
    </row>
    <row r="18" spans="1:8" x14ac:dyDescent="0.2">
      <c r="G18" s="15"/>
    </row>
    <row r="19" spans="1:8" x14ac:dyDescent="0.2">
      <c r="A19" t="s">
        <v>19</v>
      </c>
      <c r="B19" t="s">
        <v>184</v>
      </c>
      <c r="C19" t="s">
        <v>90</v>
      </c>
      <c r="D19" s="13">
        <f>2/35</f>
        <v>5.7142857142857141E-2</v>
      </c>
      <c r="G19" s="8" t="s">
        <v>81</v>
      </c>
      <c r="H19" t="s">
        <v>127</v>
      </c>
    </row>
    <row r="20" spans="1:8" x14ac:dyDescent="0.2">
      <c r="A20" t="s">
        <v>19</v>
      </c>
      <c r="B20" t="s">
        <v>185</v>
      </c>
      <c r="C20" t="s">
        <v>91</v>
      </c>
      <c r="D20" s="13">
        <f>12/35</f>
        <v>0.34285714285714286</v>
      </c>
    </row>
    <row r="21" spans="1:8" x14ac:dyDescent="0.2">
      <c r="A21" t="s">
        <v>19</v>
      </c>
      <c r="B21" t="s">
        <v>186</v>
      </c>
      <c r="C21" t="s">
        <v>273</v>
      </c>
      <c r="D21" s="13">
        <f>20/35</f>
        <v>0.5714285714285714</v>
      </c>
    </row>
    <row r="22" spans="1:8" x14ac:dyDescent="0.2">
      <c r="D22" s="25"/>
    </row>
    <row r="23" spans="1:8" x14ac:dyDescent="0.2">
      <c r="A23" t="s">
        <v>19</v>
      </c>
      <c r="B23" t="s">
        <v>301</v>
      </c>
      <c r="D23" s="13">
        <v>0.45</v>
      </c>
      <c r="G23" t="s">
        <v>302</v>
      </c>
    </row>
    <row r="24" spans="1:8" x14ac:dyDescent="0.2">
      <c r="G24" s="8"/>
    </row>
    <row r="25" spans="1:8" x14ac:dyDescent="0.2">
      <c r="A25" t="s">
        <v>19</v>
      </c>
      <c r="B25" t="s">
        <v>179</v>
      </c>
      <c r="C25" t="s">
        <v>169</v>
      </c>
      <c r="D25" s="16">
        <f>10/176</f>
        <v>5.6818181818181816E-2</v>
      </c>
      <c r="G25" s="8" t="s">
        <v>81</v>
      </c>
      <c r="H25" t="s">
        <v>196</v>
      </c>
    </row>
    <row r="26" spans="1:8" x14ac:dyDescent="0.2">
      <c r="A26" t="s">
        <v>19</v>
      </c>
      <c r="B26" t="s">
        <v>187</v>
      </c>
      <c r="C26" t="s">
        <v>170</v>
      </c>
      <c r="D26" s="16">
        <f>28/176</f>
        <v>0.15909090909090909</v>
      </c>
      <c r="G26" s="8"/>
    </row>
    <row r="27" spans="1:8" x14ac:dyDescent="0.2">
      <c r="A27" t="s">
        <v>19</v>
      </c>
      <c r="B27" t="s">
        <v>188</v>
      </c>
      <c r="C27" t="s">
        <v>171</v>
      </c>
      <c r="D27" s="16">
        <f>138/176</f>
        <v>0.78409090909090906</v>
      </c>
      <c r="G27" s="8"/>
    </row>
    <row r="28" spans="1:8" x14ac:dyDescent="0.2">
      <c r="G28" s="8"/>
    </row>
    <row r="29" spans="1:8" x14ac:dyDescent="0.2">
      <c r="A29" t="s">
        <v>19</v>
      </c>
      <c r="B29" t="s">
        <v>279</v>
      </c>
      <c r="C29" t="s">
        <v>172</v>
      </c>
      <c r="D29" s="13">
        <f>E29/SUM($E$29:$E$33)</f>
        <v>0.255</v>
      </c>
      <c r="E29" s="23">
        <v>51</v>
      </c>
      <c r="F29" s="23"/>
      <c r="G29" s="8" t="s">
        <v>81</v>
      </c>
      <c r="H29" t="s">
        <v>173</v>
      </c>
    </row>
    <row r="30" spans="1:8" x14ac:dyDescent="0.2">
      <c r="A30" t="s">
        <v>19</v>
      </c>
      <c r="B30" t="s">
        <v>189</v>
      </c>
      <c r="C30" t="s">
        <v>172</v>
      </c>
      <c r="D30" s="13">
        <f t="shared" ref="D30:D33" si="0">E30/SUM($E$29:$E$33)</f>
        <v>0.495</v>
      </c>
      <c r="E30" s="23">
        <v>99</v>
      </c>
      <c r="F30" s="23"/>
      <c r="G30" s="8"/>
      <c r="H30" t="s">
        <v>174</v>
      </c>
    </row>
    <row r="31" spans="1:8" x14ac:dyDescent="0.2">
      <c r="A31" t="s">
        <v>19</v>
      </c>
      <c r="B31" t="s">
        <v>190</v>
      </c>
      <c r="C31" t="s">
        <v>172</v>
      </c>
      <c r="D31" s="13">
        <f t="shared" si="0"/>
        <v>0.19</v>
      </c>
      <c r="E31" s="23">
        <v>38</v>
      </c>
      <c r="F31" s="23"/>
      <c r="G31" s="8"/>
    </row>
    <row r="32" spans="1:8" x14ac:dyDescent="0.2">
      <c r="A32" t="s">
        <v>19</v>
      </c>
      <c r="B32" t="s">
        <v>191</v>
      </c>
      <c r="C32" t="s">
        <v>172</v>
      </c>
      <c r="D32" s="13">
        <f t="shared" si="0"/>
        <v>0.05</v>
      </c>
      <c r="E32" s="23">
        <v>10</v>
      </c>
      <c r="F32" s="23"/>
      <c r="G32" s="8"/>
    </row>
    <row r="33" spans="1:8" x14ac:dyDescent="0.2">
      <c r="A33" t="s">
        <v>19</v>
      </c>
      <c r="B33" t="s">
        <v>192</v>
      </c>
      <c r="C33" t="s">
        <v>172</v>
      </c>
      <c r="D33" s="13">
        <f t="shared" si="0"/>
        <v>0.01</v>
      </c>
      <c r="E33" s="23">
        <v>2</v>
      </c>
      <c r="F33" s="23"/>
      <c r="G33" s="8"/>
    </row>
    <row r="34" spans="1:8" x14ac:dyDescent="0.2">
      <c r="G34" s="8"/>
    </row>
    <row r="35" spans="1:8" x14ac:dyDescent="0.2">
      <c r="A35" t="s">
        <v>79</v>
      </c>
      <c r="B35" t="s">
        <v>1</v>
      </c>
      <c r="C35" t="s">
        <v>70</v>
      </c>
      <c r="D35" s="17">
        <f t="shared" ref="D35:D42" si="1">E35/SUM($E$35:$E$42)</f>
        <v>7.8787878787878796E-2</v>
      </c>
      <c r="E35">
        <f>(0.13/10)*5</f>
        <v>6.5000000000000002E-2</v>
      </c>
      <c r="G35" s="8" t="s">
        <v>48</v>
      </c>
    </row>
    <row r="36" spans="1:8" s="19" customFormat="1" x14ac:dyDescent="0.2">
      <c r="A36" s="19" t="s">
        <v>79</v>
      </c>
      <c r="B36" s="19" t="s">
        <v>41</v>
      </c>
      <c r="C36" s="19" t="s">
        <v>70</v>
      </c>
      <c r="D36" s="27">
        <f t="shared" si="1"/>
        <v>0.18181818181818182</v>
      </c>
      <c r="E36" s="19">
        <v>0.15</v>
      </c>
    </row>
    <row r="37" spans="1:8" s="19" customFormat="1" x14ac:dyDescent="0.2">
      <c r="A37" s="19" t="s">
        <v>79</v>
      </c>
      <c r="B37" s="19" t="s">
        <v>42</v>
      </c>
      <c r="C37" s="19" t="s">
        <v>70</v>
      </c>
      <c r="D37" s="27">
        <f t="shared" si="1"/>
        <v>0.18181818181818182</v>
      </c>
      <c r="E37" s="19">
        <v>0.15</v>
      </c>
    </row>
    <row r="38" spans="1:8" s="19" customFormat="1" x14ac:dyDescent="0.2">
      <c r="A38" s="19" t="s">
        <v>79</v>
      </c>
      <c r="B38" s="19" t="s">
        <v>43</v>
      </c>
      <c r="C38" s="19" t="s">
        <v>70</v>
      </c>
      <c r="D38" s="27">
        <f t="shared" si="1"/>
        <v>0.15757575757575759</v>
      </c>
      <c r="E38" s="19">
        <v>0.13</v>
      </c>
    </row>
    <row r="39" spans="1:8" s="19" customFormat="1" x14ac:dyDescent="0.2">
      <c r="A39" s="19" t="s">
        <v>79</v>
      </c>
      <c r="B39" s="19" t="s">
        <v>44</v>
      </c>
      <c r="C39" s="19" t="s">
        <v>70</v>
      </c>
      <c r="D39" s="27">
        <f t="shared" si="1"/>
        <v>0.15757575757575759</v>
      </c>
      <c r="E39" s="19">
        <v>0.13</v>
      </c>
    </row>
    <row r="40" spans="1:8" s="19" customFormat="1" x14ac:dyDescent="0.2">
      <c r="A40" s="19" t="s">
        <v>79</v>
      </c>
      <c r="B40" s="19" t="s">
        <v>45</v>
      </c>
      <c r="C40" s="19" t="s">
        <v>70</v>
      </c>
      <c r="D40" s="27">
        <f t="shared" si="1"/>
        <v>0.12121212121212123</v>
      </c>
      <c r="E40" s="19">
        <v>0.1</v>
      </c>
    </row>
    <row r="41" spans="1:8" s="19" customFormat="1" x14ac:dyDescent="0.2">
      <c r="A41" s="19" t="s">
        <v>79</v>
      </c>
      <c r="B41" s="19" t="s">
        <v>46</v>
      </c>
      <c r="C41" s="19" t="s">
        <v>70</v>
      </c>
      <c r="D41" s="27">
        <f t="shared" si="1"/>
        <v>7.2727272727272724E-2</v>
      </c>
      <c r="E41" s="19">
        <v>0.06</v>
      </c>
    </row>
    <row r="42" spans="1:8" s="19" customFormat="1" x14ac:dyDescent="0.2">
      <c r="A42" s="19" t="s">
        <v>79</v>
      </c>
      <c r="B42" s="19" t="s">
        <v>47</v>
      </c>
      <c r="C42" s="19" t="s">
        <v>70</v>
      </c>
      <c r="D42" s="27">
        <f t="shared" si="1"/>
        <v>4.8484848484848492E-2</v>
      </c>
      <c r="E42" s="19">
        <v>0.04</v>
      </c>
    </row>
    <row r="43" spans="1:8" x14ac:dyDescent="0.2">
      <c r="H43" s="1"/>
    </row>
    <row r="44" spans="1:8" x14ac:dyDescent="0.2">
      <c r="A44" t="s">
        <v>0</v>
      </c>
      <c r="B44" t="s">
        <v>2</v>
      </c>
      <c r="C44" t="s">
        <v>140</v>
      </c>
      <c r="D44" s="4">
        <v>9.9000000000000005E-2</v>
      </c>
      <c r="E44">
        <v>8.4320000000000006E-2</v>
      </c>
      <c r="F44">
        <v>0.06</v>
      </c>
      <c r="G44" s="8" t="s">
        <v>30</v>
      </c>
    </row>
    <row r="45" spans="1:8" x14ac:dyDescent="0.2">
      <c r="A45" t="s">
        <v>0</v>
      </c>
      <c r="B45" t="s">
        <v>3</v>
      </c>
      <c r="C45" t="s">
        <v>141</v>
      </c>
      <c r="D45" s="4">
        <v>0.56899999999999995</v>
      </c>
      <c r="E45">
        <v>0.31913000000000002</v>
      </c>
      <c r="F45">
        <f>1-F44-F46</f>
        <v>0.37999999999999989</v>
      </c>
    </row>
    <row r="46" spans="1:8" x14ac:dyDescent="0.2">
      <c r="A46" t="s">
        <v>0</v>
      </c>
      <c r="B46" t="s">
        <v>4</v>
      </c>
      <c r="C46" t="s">
        <v>142</v>
      </c>
      <c r="D46" s="4">
        <v>0.33200000000000002</v>
      </c>
      <c r="E46">
        <v>0.59655000000000002</v>
      </c>
      <c r="F46">
        <v>0.56000000000000005</v>
      </c>
    </row>
    <row r="47" spans="1:8" x14ac:dyDescent="0.2">
      <c r="D47" s="4"/>
    </row>
    <row r="48" spans="1:8" x14ac:dyDescent="0.2">
      <c r="A48" t="s">
        <v>0</v>
      </c>
      <c r="B48" t="s">
        <v>5</v>
      </c>
      <c r="C48" t="s">
        <v>6</v>
      </c>
      <c r="D48" s="4">
        <v>1</v>
      </c>
      <c r="G48" t="s">
        <v>101</v>
      </c>
    </row>
    <row r="50" spans="1:7" x14ac:dyDescent="0.2">
      <c r="A50" t="s">
        <v>7</v>
      </c>
      <c r="B50" t="s">
        <v>8</v>
      </c>
      <c r="C50" t="s">
        <v>9</v>
      </c>
      <c r="D50" s="4" t="s">
        <v>71</v>
      </c>
      <c r="G50" t="s">
        <v>10</v>
      </c>
    </row>
    <row r="51" spans="1:7" x14ac:dyDescent="0.2">
      <c r="A51" t="s">
        <v>7</v>
      </c>
      <c r="B51" t="s">
        <v>280</v>
      </c>
      <c r="C51" t="s">
        <v>129</v>
      </c>
      <c r="D51" s="16">
        <v>0.15384615384615385</v>
      </c>
      <c r="G51" t="s">
        <v>10</v>
      </c>
    </row>
    <row r="52" spans="1:7" x14ac:dyDescent="0.2">
      <c r="A52" t="s">
        <v>7</v>
      </c>
      <c r="B52" t="s">
        <v>281</v>
      </c>
      <c r="C52" t="s">
        <v>129</v>
      </c>
      <c r="D52" s="16">
        <v>0.23076923076923078</v>
      </c>
      <c r="G52" t="s">
        <v>10</v>
      </c>
    </row>
    <row r="53" spans="1:7" x14ac:dyDescent="0.2">
      <c r="A53" t="s">
        <v>7</v>
      </c>
      <c r="B53" t="s">
        <v>282</v>
      </c>
      <c r="C53" t="s">
        <v>129</v>
      </c>
      <c r="D53" s="24">
        <v>0.23076923076923078</v>
      </c>
      <c r="G53" t="s">
        <v>10</v>
      </c>
    </row>
    <row r="54" spans="1:7" x14ac:dyDescent="0.2">
      <c r="A54" t="s">
        <v>7</v>
      </c>
      <c r="B54" t="s">
        <v>283</v>
      </c>
      <c r="C54" t="s">
        <v>129</v>
      </c>
      <c r="D54" s="24">
        <v>0.15384615384615385</v>
      </c>
      <c r="G54" t="s">
        <v>10</v>
      </c>
    </row>
    <row r="55" spans="1:7" x14ac:dyDescent="0.2">
      <c r="A55" t="s">
        <v>7</v>
      </c>
      <c r="B55" t="s">
        <v>284</v>
      </c>
      <c r="C55" t="s">
        <v>129</v>
      </c>
      <c r="D55" s="24">
        <v>0.23076923076923078</v>
      </c>
      <c r="G55" t="s">
        <v>10</v>
      </c>
    </row>
    <row r="56" spans="1:7" x14ac:dyDescent="0.2">
      <c r="A56" t="s">
        <v>7</v>
      </c>
      <c r="B56" t="s">
        <v>285</v>
      </c>
      <c r="C56" t="s">
        <v>129</v>
      </c>
      <c r="D56" s="24">
        <v>0.15384615384615385</v>
      </c>
      <c r="G56" t="s">
        <v>10</v>
      </c>
    </row>
    <row r="57" spans="1:7" x14ac:dyDescent="0.2">
      <c r="A57" t="s">
        <v>7</v>
      </c>
      <c r="B57" t="s">
        <v>286</v>
      </c>
      <c r="C57" t="s">
        <v>129</v>
      </c>
      <c r="D57" s="24">
        <v>0</v>
      </c>
      <c r="G57" t="s">
        <v>10</v>
      </c>
    </row>
    <row r="59" spans="1:7" x14ac:dyDescent="0.2">
      <c r="A59" t="s">
        <v>49</v>
      </c>
      <c r="B59" s="5" t="s">
        <v>34</v>
      </c>
      <c r="C59" t="s">
        <v>37</v>
      </c>
      <c r="D59" s="5">
        <v>1.5</v>
      </c>
      <c r="E59">
        <v>1.4</v>
      </c>
      <c r="G59" t="s">
        <v>109</v>
      </c>
    </row>
    <row r="60" spans="1:7" x14ac:dyDescent="0.2">
      <c r="A60" t="s">
        <v>49</v>
      </c>
      <c r="B60" s="5" t="s">
        <v>35</v>
      </c>
      <c r="C60" t="s">
        <v>38</v>
      </c>
      <c r="D60" s="5">
        <v>1</v>
      </c>
      <c r="E60">
        <v>1</v>
      </c>
      <c r="G60" t="s">
        <v>109</v>
      </c>
    </row>
    <row r="61" spans="1:7" x14ac:dyDescent="0.2">
      <c r="A61" t="s">
        <v>49</v>
      </c>
      <c r="B61" s="5" t="s">
        <v>36</v>
      </c>
      <c r="C61" t="s">
        <v>39</v>
      </c>
      <c r="D61" s="5">
        <v>0.8</v>
      </c>
      <c r="E61">
        <v>0.7</v>
      </c>
      <c r="G61" t="s">
        <v>109</v>
      </c>
    </row>
    <row r="62" spans="1:7" x14ac:dyDescent="0.2">
      <c r="A62" t="s">
        <v>49</v>
      </c>
      <c r="B62" s="5" t="s">
        <v>216</v>
      </c>
      <c r="C62" t="s">
        <v>217</v>
      </c>
      <c r="D62" s="5">
        <v>3.1</v>
      </c>
      <c r="E62">
        <v>2.9</v>
      </c>
    </row>
    <row r="63" spans="1:7" x14ac:dyDescent="0.2">
      <c r="A63" t="s">
        <v>49</v>
      </c>
      <c r="B63" s="5" t="s">
        <v>304</v>
      </c>
      <c r="C63" t="s">
        <v>209</v>
      </c>
      <c r="D63" s="5">
        <v>2.7</v>
      </c>
      <c r="E63">
        <v>2</v>
      </c>
      <c r="G63" t="s">
        <v>109</v>
      </c>
    </row>
    <row r="64" spans="1:7" x14ac:dyDescent="0.2">
      <c r="A64" t="s">
        <v>49</v>
      </c>
      <c r="B64" s="5" t="s">
        <v>305</v>
      </c>
      <c r="C64" t="s">
        <v>195</v>
      </c>
      <c r="D64" s="5">
        <v>0.75</v>
      </c>
      <c r="E64">
        <v>0.44</v>
      </c>
      <c r="G64" t="s">
        <v>109</v>
      </c>
    </row>
    <row r="65" spans="1:8" x14ac:dyDescent="0.2">
      <c r="A65" t="s">
        <v>49</v>
      </c>
      <c r="B65" s="5" t="s">
        <v>306</v>
      </c>
      <c r="C65" t="s">
        <v>210</v>
      </c>
      <c r="D65" s="5">
        <v>3.8</v>
      </c>
      <c r="E65">
        <v>3.2</v>
      </c>
      <c r="G65" t="s">
        <v>109</v>
      </c>
    </row>
    <row r="66" spans="1:8" s="34" customFormat="1" x14ac:dyDescent="0.2">
      <c r="A66" s="34" t="s">
        <v>49</v>
      </c>
      <c r="B66" s="34" t="s">
        <v>309</v>
      </c>
      <c r="C66" s="34" t="s">
        <v>193</v>
      </c>
      <c r="D66" s="34">
        <v>1.25</v>
      </c>
      <c r="G66" s="34" t="s">
        <v>109</v>
      </c>
      <c r="H66" s="35"/>
    </row>
    <row r="67" spans="1:8" s="34" customFormat="1" x14ac:dyDescent="0.2">
      <c r="A67" s="34" t="s">
        <v>49</v>
      </c>
      <c r="B67" s="34" t="s">
        <v>310</v>
      </c>
      <c r="C67" s="34" t="s">
        <v>193</v>
      </c>
      <c r="D67" s="34">
        <v>1.25</v>
      </c>
      <c r="G67" s="34" t="s">
        <v>109</v>
      </c>
      <c r="H67" s="35"/>
    </row>
    <row r="68" spans="1:8" s="34" customFormat="1" x14ac:dyDescent="0.2">
      <c r="A68" s="34" t="s">
        <v>49</v>
      </c>
      <c r="B68" s="34" t="s">
        <v>311</v>
      </c>
      <c r="C68" s="34" t="s">
        <v>193</v>
      </c>
      <c r="D68" s="34">
        <v>1.25</v>
      </c>
      <c r="H68" s="35"/>
    </row>
    <row r="69" spans="1:8" x14ac:dyDescent="0.2">
      <c r="A69" t="s">
        <v>49</v>
      </c>
      <c r="B69" s="5" t="s">
        <v>293</v>
      </c>
      <c r="C69" t="s">
        <v>194</v>
      </c>
      <c r="D69" s="5">
        <v>1</v>
      </c>
      <c r="G69" t="s">
        <v>109</v>
      </c>
      <c r="H69" s="1"/>
    </row>
    <row r="70" spans="1:8" x14ac:dyDescent="0.2">
      <c r="A70" t="s">
        <v>49</v>
      </c>
      <c r="B70" s="5" t="s">
        <v>294</v>
      </c>
      <c r="C70" t="s">
        <v>194</v>
      </c>
      <c r="D70" s="5">
        <v>0.65</v>
      </c>
      <c r="G70" t="s">
        <v>109</v>
      </c>
      <c r="H70" s="1"/>
    </row>
    <row r="71" spans="1:8" x14ac:dyDescent="0.2">
      <c r="A71" t="s">
        <v>49</v>
      </c>
      <c r="B71" s="5" t="s">
        <v>295</v>
      </c>
      <c r="C71" t="s">
        <v>194</v>
      </c>
      <c r="D71" s="5">
        <v>1.5</v>
      </c>
      <c r="G71" t="s">
        <v>109</v>
      </c>
      <c r="H71" s="1"/>
    </row>
    <row r="72" spans="1:8" x14ac:dyDescent="0.2">
      <c r="A72" t="s">
        <v>49</v>
      </c>
      <c r="B72" s="5" t="s">
        <v>297</v>
      </c>
      <c r="C72" t="s">
        <v>194</v>
      </c>
      <c r="D72" s="5">
        <v>1</v>
      </c>
      <c r="G72" t="s">
        <v>109</v>
      </c>
      <c r="H72" s="1"/>
    </row>
    <row r="73" spans="1:8" x14ac:dyDescent="0.2">
      <c r="A73" t="s">
        <v>49</v>
      </c>
      <c r="B73" s="5" t="s">
        <v>296</v>
      </c>
      <c r="C73" t="s">
        <v>194</v>
      </c>
      <c r="D73" s="5">
        <v>2</v>
      </c>
      <c r="G73" t="s">
        <v>109</v>
      </c>
      <c r="H73" s="1"/>
    </row>
    <row r="74" spans="1:8" x14ac:dyDescent="0.2">
      <c r="A74" t="s">
        <v>49</v>
      </c>
      <c r="B74" s="5" t="s">
        <v>298</v>
      </c>
      <c r="C74" t="s">
        <v>194</v>
      </c>
      <c r="D74" s="5">
        <v>1.2</v>
      </c>
      <c r="G74" t="s">
        <v>109</v>
      </c>
      <c r="H74" s="1"/>
    </row>
    <row r="75" spans="1:8" x14ac:dyDescent="0.2">
      <c r="A75" t="s">
        <v>49</v>
      </c>
      <c r="B75" s="5" t="s">
        <v>299</v>
      </c>
      <c r="C75" t="s">
        <v>194</v>
      </c>
      <c r="D75" s="5">
        <v>1</v>
      </c>
      <c r="G75" t="s">
        <v>109</v>
      </c>
      <c r="H75" s="1"/>
    </row>
    <row r="76" spans="1:8" x14ac:dyDescent="0.2">
      <c r="A76" t="s">
        <v>49</v>
      </c>
      <c r="B76" s="5" t="s">
        <v>300</v>
      </c>
      <c r="C76" t="s">
        <v>194</v>
      </c>
      <c r="D76" s="5">
        <v>0.5</v>
      </c>
      <c r="G76" t="s">
        <v>109</v>
      </c>
      <c r="H76" s="1"/>
    </row>
    <row r="77" spans="1:8" ht="16" customHeight="1" x14ac:dyDescent="0.2">
      <c r="H77" s="1"/>
    </row>
    <row r="78" spans="1:8" x14ac:dyDescent="0.2">
      <c r="A78" t="s">
        <v>12</v>
      </c>
      <c r="B78" t="s">
        <v>28</v>
      </c>
      <c r="C78" t="s">
        <v>130</v>
      </c>
      <c r="D78" s="4" t="s">
        <v>71</v>
      </c>
      <c r="G78" s="9" t="s">
        <v>29</v>
      </c>
      <c r="H78" s="1"/>
    </row>
    <row r="80" spans="1:8" ht="96" x14ac:dyDescent="0.2">
      <c r="A80" t="s">
        <v>287</v>
      </c>
      <c r="B80" t="s">
        <v>269</v>
      </c>
      <c r="C80" t="s">
        <v>143</v>
      </c>
      <c r="D80" s="5">
        <v>0.72099999999999997</v>
      </c>
      <c r="E80" t="s">
        <v>266</v>
      </c>
      <c r="G80" s="12" t="s">
        <v>268</v>
      </c>
      <c r="H80" t="s">
        <v>131</v>
      </c>
    </row>
    <row r="81" spans="1:28" x14ac:dyDescent="0.2">
      <c r="A81" t="s">
        <v>287</v>
      </c>
      <c r="B81" t="s">
        <v>270</v>
      </c>
      <c r="C81" t="s">
        <v>144</v>
      </c>
      <c r="D81" s="5">
        <v>0.878</v>
      </c>
      <c r="E81" t="s">
        <v>267</v>
      </c>
      <c r="F81">
        <v>0.89</v>
      </c>
      <c r="G81" s="8" t="s">
        <v>69</v>
      </c>
      <c r="H81" t="s">
        <v>308</v>
      </c>
    </row>
    <row r="82" spans="1:28" x14ac:dyDescent="0.2">
      <c r="A82" t="s">
        <v>287</v>
      </c>
      <c r="B82" t="s">
        <v>271</v>
      </c>
      <c r="C82" t="s">
        <v>143</v>
      </c>
      <c r="D82" s="5">
        <v>0.51</v>
      </c>
      <c r="G82" s="7"/>
    </row>
    <row r="83" spans="1:28" x14ac:dyDescent="0.2">
      <c r="A83" t="s">
        <v>287</v>
      </c>
      <c r="B83" t="s">
        <v>272</v>
      </c>
      <c r="C83" t="s">
        <v>144</v>
      </c>
      <c r="D83" s="5">
        <v>0.70199999999999996</v>
      </c>
      <c r="G83" s="7"/>
    </row>
    <row r="84" spans="1:28" x14ac:dyDescent="0.2">
      <c r="A84" t="s">
        <v>12</v>
      </c>
      <c r="B84" t="s">
        <v>134</v>
      </c>
      <c r="C84" t="s">
        <v>145</v>
      </c>
      <c r="D84" s="4">
        <v>28</v>
      </c>
      <c r="G84" s="2" t="s">
        <v>97</v>
      </c>
    </row>
    <row r="85" spans="1:28" x14ac:dyDescent="0.2">
      <c r="A85" t="s">
        <v>12</v>
      </c>
      <c r="B85" t="s">
        <v>132</v>
      </c>
      <c r="C85" t="s">
        <v>99</v>
      </c>
      <c r="D85" s="4">
        <v>14</v>
      </c>
      <c r="E85">
        <v>14</v>
      </c>
      <c r="G85" s="2" t="s">
        <v>94</v>
      </c>
      <c r="H85" s="2" t="s">
        <v>96</v>
      </c>
    </row>
    <row r="86" spans="1:28" x14ac:dyDescent="0.2">
      <c r="A86" t="s">
        <v>12</v>
      </c>
      <c r="B86" t="s">
        <v>133</v>
      </c>
      <c r="C86" t="s">
        <v>100</v>
      </c>
      <c r="D86" s="4">
        <v>14</v>
      </c>
      <c r="E86">
        <v>14</v>
      </c>
      <c r="G86" s="2" t="s">
        <v>94</v>
      </c>
    </row>
    <row r="87" spans="1:28" x14ac:dyDescent="0.2">
      <c r="G87" s="2"/>
    </row>
    <row r="88" spans="1:28" x14ac:dyDescent="0.2">
      <c r="A88" t="s">
        <v>12</v>
      </c>
      <c r="B88" t="s">
        <v>135</v>
      </c>
      <c r="C88" t="s">
        <v>137</v>
      </c>
      <c r="D88" s="31">
        <f>47/260000</f>
        <v>1.8076923076923077E-4</v>
      </c>
      <c r="G88" t="s">
        <v>146</v>
      </c>
      <c r="H88" t="s">
        <v>86</v>
      </c>
    </row>
    <row r="89" spans="1:28" x14ac:dyDescent="0.2">
      <c r="A89" t="s">
        <v>12</v>
      </c>
      <c r="B89" t="s">
        <v>136</v>
      </c>
      <c r="C89" t="s">
        <v>138</v>
      </c>
      <c r="D89" s="32">
        <f>524/260000</f>
        <v>2.0153846153846155E-3</v>
      </c>
      <c r="G89" t="s">
        <v>146</v>
      </c>
    </row>
    <row r="90" spans="1:28" x14ac:dyDescent="0.2">
      <c r="A90" t="s">
        <v>12</v>
      </c>
      <c r="B90" t="s">
        <v>205</v>
      </c>
      <c r="C90" t="s">
        <v>203</v>
      </c>
      <c r="D90" s="32">
        <f>6531/260000</f>
        <v>2.5119230769230769E-2</v>
      </c>
      <c r="G90" t="s">
        <v>146</v>
      </c>
    </row>
    <row r="91" spans="1:28" x14ac:dyDescent="0.2">
      <c r="A91" t="s">
        <v>12</v>
      </c>
      <c r="B91" t="s">
        <v>206</v>
      </c>
      <c r="C91" t="s">
        <v>204</v>
      </c>
      <c r="D91" s="32">
        <v>5.0000000000000001E-3</v>
      </c>
      <c r="G91" t="s">
        <v>101</v>
      </c>
    </row>
    <row r="92" spans="1:28" x14ac:dyDescent="0.2">
      <c r="A92" t="s">
        <v>12</v>
      </c>
      <c r="B92" s="10" t="s">
        <v>139</v>
      </c>
      <c r="C92" s="10" t="s">
        <v>98</v>
      </c>
      <c r="D92" s="14">
        <v>0.95</v>
      </c>
      <c r="E92" s="10"/>
      <c r="F92" s="11"/>
      <c r="G92" t="s">
        <v>101</v>
      </c>
      <c r="H92" s="2" t="s">
        <v>72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x14ac:dyDescent="0.2">
      <c r="A93" t="s">
        <v>12</v>
      </c>
      <c r="B93" s="10" t="s">
        <v>208</v>
      </c>
      <c r="C93" s="10" t="s">
        <v>207</v>
      </c>
      <c r="D93" s="22">
        <v>0.5</v>
      </c>
      <c r="E93" s="10"/>
      <c r="F93" s="11"/>
      <c r="G93" t="s">
        <v>101</v>
      </c>
      <c r="H93" s="2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x14ac:dyDescent="0.2">
      <c r="B94" s="18"/>
    </row>
    <row r="95" spans="1:28" x14ac:dyDescent="0.2">
      <c r="A95" t="s">
        <v>12</v>
      </c>
      <c r="B95" t="s">
        <v>274</v>
      </c>
      <c r="C95" t="s">
        <v>83</v>
      </c>
      <c r="D95" s="6">
        <v>0.01</v>
      </c>
      <c r="G95" t="s">
        <v>101</v>
      </c>
      <c r="H95" t="s">
        <v>147</v>
      </c>
    </row>
    <row r="96" spans="1:28" x14ac:dyDescent="0.2">
      <c r="A96" t="s">
        <v>12</v>
      </c>
      <c r="B96" t="s">
        <v>275</v>
      </c>
      <c r="C96" t="s">
        <v>83</v>
      </c>
      <c r="D96" s="6">
        <v>0.1</v>
      </c>
      <c r="G96" t="s">
        <v>101</v>
      </c>
    </row>
    <row r="97" spans="1:9" x14ac:dyDescent="0.2">
      <c r="A97" t="s">
        <v>12</v>
      </c>
      <c r="B97" t="s">
        <v>291</v>
      </c>
      <c r="C97" t="s">
        <v>84</v>
      </c>
      <c r="D97" s="6">
        <v>0.8</v>
      </c>
      <c r="G97" t="s">
        <v>109</v>
      </c>
    </row>
    <row r="98" spans="1:9" x14ac:dyDescent="0.2">
      <c r="A98" t="s">
        <v>12</v>
      </c>
      <c r="B98" t="s">
        <v>288</v>
      </c>
      <c r="D98" s="6">
        <v>0.9</v>
      </c>
      <c r="G98" t="s">
        <v>109</v>
      </c>
    </row>
    <row r="99" spans="1:9" x14ac:dyDescent="0.2">
      <c r="A99" t="s">
        <v>12</v>
      </c>
      <c r="B99" t="s">
        <v>289</v>
      </c>
      <c r="D99" s="6">
        <v>0.8</v>
      </c>
      <c r="G99" t="s">
        <v>109</v>
      </c>
    </row>
    <row r="100" spans="1:9" x14ac:dyDescent="0.2">
      <c r="A100" t="s">
        <v>12</v>
      </c>
      <c r="B100" t="s">
        <v>290</v>
      </c>
      <c r="D100" s="6">
        <v>0.9</v>
      </c>
      <c r="G100" t="s">
        <v>109</v>
      </c>
    </row>
    <row r="101" spans="1:9" x14ac:dyDescent="0.2">
      <c r="A101" t="s">
        <v>12</v>
      </c>
      <c r="B101" t="s">
        <v>292</v>
      </c>
      <c r="D101" s="6">
        <v>0.7</v>
      </c>
      <c r="G101" t="s">
        <v>109</v>
      </c>
    </row>
    <row r="103" spans="1:9" ht="78" customHeight="1" x14ac:dyDescent="0.2">
      <c r="A103" t="s">
        <v>12</v>
      </c>
      <c r="B103" t="s">
        <v>59</v>
      </c>
      <c r="C103" t="s">
        <v>62</v>
      </c>
      <c r="D103" s="21">
        <f>1-EXP(-1/(AVERAGE(E103,F103)/7))</f>
        <v>0.50341469620859047</v>
      </c>
      <c r="E103" s="10">
        <v>3</v>
      </c>
      <c r="F103" s="10">
        <v>17</v>
      </c>
      <c r="G103" s="12" t="s">
        <v>108</v>
      </c>
      <c r="H103" t="s">
        <v>95</v>
      </c>
    </row>
    <row r="104" spans="1:9" x14ac:dyDescent="0.2">
      <c r="A104" t="s">
        <v>12</v>
      </c>
      <c r="B104" t="s">
        <v>76</v>
      </c>
      <c r="C104" t="s">
        <v>75</v>
      </c>
      <c r="D104" s="21">
        <f>1-EXP(-(AVERAGE(E104,F104)/7))</f>
        <v>0.43528187799224072</v>
      </c>
      <c r="E104" s="10">
        <v>4</v>
      </c>
      <c r="F104" s="10">
        <v>4</v>
      </c>
      <c r="G104" s="8" t="s">
        <v>97</v>
      </c>
    </row>
    <row r="105" spans="1:9" x14ac:dyDescent="0.2">
      <c r="A105" t="s">
        <v>12</v>
      </c>
      <c r="B105" t="s">
        <v>61</v>
      </c>
      <c r="C105" t="s">
        <v>64</v>
      </c>
      <c r="D105" s="21">
        <f>1-EXP(-1/(AVERAGE(E105,F105)/7))</f>
        <v>0.28346868942621073</v>
      </c>
      <c r="E105" s="10">
        <v>14</v>
      </c>
      <c r="F105" s="10">
        <v>28</v>
      </c>
      <c r="G105" s="8" t="s">
        <v>92</v>
      </c>
      <c r="H105" t="s">
        <v>93</v>
      </c>
    </row>
    <row r="106" spans="1:9" x14ac:dyDescent="0.2">
      <c r="A106" t="s">
        <v>12</v>
      </c>
      <c r="B106" t="s">
        <v>60</v>
      </c>
      <c r="C106" t="s">
        <v>63</v>
      </c>
      <c r="D106" s="20">
        <f>1-EXP(-1/(E106/7))</f>
        <v>0.50341469620859047</v>
      </c>
      <c r="E106">
        <v>10</v>
      </c>
      <c r="G106" s="8" t="s">
        <v>102</v>
      </c>
      <c r="H106" s="2" t="s">
        <v>162</v>
      </c>
      <c r="I106" t="s">
        <v>307</v>
      </c>
    </row>
    <row r="107" spans="1:9" x14ac:dyDescent="0.2">
      <c r="A107" t="s">
        <v>12</v>
      </c>
      <c r="B107" t="s">
        <v>85</v>
      </c>
      <c r="C107" t="s">
        <v>155</v>
      </c>
      <c r="D107" s="20">
        <v>0.3</v>
      </c>
      <c r="G107" t="s">
        <v>101</v>
      </c>
    </row>
    <row r="108" spans="1:9" ht="16" customHeight="1" x14ac:dyDescent="0.2">
      <c r="A108" t="s">
        <v>12</v>
      </c>
      <c r="B108" t="s">
        <v>103</v>
      </c>
      <c r="C108" t="s">
        <v>148</v>
      </c>
      <c r="D108" s="6">
        <f>0.13+0.07</f>
        <v>0.2</v>
      </c>
      <c r="G108" s="12" t="s">
        <v>107</v>
      </c>
      <c r="H108" t="s">
        <v>149</v>
      </c>
    </row>
    <row r="113" spans="1:4" x14ac:dyDescent="0.2">
      <c r="A113" s="3" t="s">
        <v>156</v>
      </c>
    </row>
    <row r="114" spans="1:4" x14ac:dyDescent="0.2">
      <c r="A114" s="3" t="s">
        <v>161</v>
      </c>
      <c r="B114" s="3" t="s">
        <v>106</v>
      </c>
    </row>
    <row r="115" spans="1:4" x14ac:dyDescent="0.2">
      <c r="A115" t="s">
        <v>159</v>
      </c>
      <c r="B115" t="s">
        <v>166</v>
      </c>
    </row>
    <row r="116" spans="1:4" ht="16" x14ac:dyDescent="0.2">
      <c r="A116" t="s">
        <v>151</v>
      </c>
      <c r="B116" t="s">
        <v>152</v>
      </c>
      <c r="C116" s="1" t="s">
        <v>153</v>
      </c>
      <c r="D116">
        <f>D90*2</f>
        <v>5.0238461538461537E-2</v>
      </c>
    </row>
    <row r="117" spans="1:4" x14ac:dyDescent="0.2">
      <c r="A117" t="s">
        <v>154</v>
      </c>
      <c r="B117" t="s">
        <v>85</v>
      </c>
      <c r="C117" t="s">
        <v>155</v>
      </c>
      <c r="D117">
        <v>1</v>
      </c>
    </row>
    <row r="118" spans="1:4" x14ac:dyDescent="0.2">
      <c r="A118" t="s">
        <v>157</v>
      </c>
      <c r="B118" t="s">
        <v>82</v>
      </c>
      <c r="C118" t="s">
        <v>83</v>
      </c>
      <c r="D118">
        <v>0.2</v>
      </c>
    </row>
    <row r="119" spans="1:4" x14ac:dyDescent="0.2">
      <c r="A119" t="s">
        <v>158</v>
      </c>
      <c r="B119" t="s">
        <v>82</v>
      </c>
      <c r="C119" t="s">
        <v>83</v>
      </c>
      <c r="D119">
        <v>0.1</v>
      </c>
    </row>
    <row r="120" spans="1:4" x14ac:dyDescent="0.2">
      <c r="A120" t="s">
        <v>160</v>
      </c>
      <c r="B120" t="s">
        <v>103</v>
      </c>
      <c r="C120" t="s">
        <v>148</v>
      </c>
      <c r="D120">
        <v>0.5</v>
      </c>
    </row>
  </sheetData>
  <phoneticPr fontId="6" type="noConversion"/>
  <hyperlinks>
    <hyperlink ref="G44" r:id="rId1" location="!po=36.1111" xr:uid="{755F95E7-90D0-47E4-AA92-8DA3FF5123F4}"/>
    <hyperlink ref="G35" r:id="rId2" xr:uid="{57392CFD-7573-3746-ABC7-5B0202AA5AAC}"/>
    <hyperlink ref="G81" r:id="rId3" xr:uid="{87063F3B-06C9-4D4E-A64D-E3D350F474D7}"/>
    <hyperlink ref="G103" r:id="rId4" display="https://www.nejm.org/doi/full/10.1056/NEJMoa2207323" xr:uid="{51A154ED-A55C-294E-866C-FE2FABC2C127}"/>
    <hyperlink ref="H92" r:id="rId5" xr:uid="{C76ACAD5-C40B-3046-A8EA-AAD70B532FDE}"/>
    <hyperlink ref="H85" r:id="rId6" xr:uid="{92344868-4782-BE49-9F1B-6592A4B8A3B0}"/>
    <hyperlink ref="G105" r:id="rId7" location=":~:text=skin%20slough%20off.-,Monkeypox%20is%20usually%20a%20self%2Dlimited%20disease%20with%20the%20symptoms,status%20and%20nature%20of%20complications." xr:uid="{5D64AC1E-5B95-4C48-9535-9B95B062F928}"/>
    <hyperlink ref="G106" r:id="rId8" xr:uid="{5596A346-5A73-F54C-BB48-D1E8E2A3CA06}"/>
    <hyperlink ref="G108" r:id="rId9" xr:uid="{513E954D-0DF6-BB4D-9F3C-511E47A7C2B7}"/>
    <hyperlink ref="G19" r:id="rId10" xr:uid="{2A49E5EB-910F-8F4C-B1A8-4D2E7ED437DD}"/>
    <hyperlink ref="G84" r:id="rId11" xr:uid="{517186AC-CB76-3D4B-A561-83DC21DDB9BC}"/>
    <hyperlink ref="G9" r:id="rId12" xr:uid="{4095368E-B19A-0743-8DF2-8989AE96D261}"/>
    <hyperlink ref="H106" r:id="rId13" xr:uid="{8E1261A4-C9C9-ED45-B113-26F00280FD0C}"/>
    <hyperlink ref="G80" r:id="rId14" display="https://www.nejm.org/doi/full/10.1056/NEJMoa1817307" xr:uid="{397ABAFE-7F9A-ED47-95AF-C8AA702565CD}"/>
    <hyperlink ref="G104" r:id="rId15" xr:uid="{D7896C28-7752-F941-87F6-488AE1FA6814}"/>
    <hyperlink ref="G85" r:id="rId16" xr:uid="{5D5B923B-69BC-3D4C-80BD-63E4C2188AD0}"/>
  </hyperlinks>
  <pageMargins left="0.7" right="0.7" top="0.75" bottom="0.75" header="0.3" footer="0.3"/>
  <pageSetup orientation="portrait" r:id="rId17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BAD9-D596-4993-A838-C32E90D12062}">
  <dimension ref="A1:B58"/>
  <sheetViews>
    <sheetView tabSelected="1" zoomScale="138" workbookViewId="0">
      <selection activeCell="B17" sqref="B17"/>
    </sheetView>
  </sheetViews>
  <sheetFormatPr baseColWidth="10" defaultColWidth="8.83203125" defaultRowHeight="15" x14ac:dyDescent="0.2"/>
  <cols>
    <col min="1" max="1" width="54.6640625" bestFit="1" customWidth="1"/>
    <col min="2" max="2" width="52" bestFit="1" customWidth="1"/>
  </cols>
  <sheetData>
    <row r="1" spans="1:2" x14ac:dyDescent="0.2">
      <c r="A1" t="s">
        <v>19</v>
      </c>
      <c r="B1" t="s">
        <v>314</v>
      </c>
    </row>
    <row r="2" spans="1:2" x14ac:dyDescent="0.2">
      <c r="A2" t="s">
        <v>23</v>
      </c>
      <c r="B2" t="s">
        <v>32</v>
      </c>
    </row>
    <row r="3" spans="1:2" x14ac:dyDescent="0.2">
      <c r="A3" t="s">
        <v>24</v>
      </c>
      <c r="B3" t="s">
        <v>33</v>
      </c>
    </row>
    <row r="4" spans="1:2" x14ac:dyDescent="0.2">
      <c r="A4" t="s">
        <v>8</v>
      </c>
      <c r="B4" t="s">
        <v>31</v>
      </c>
    </row>
    <row r="5" spans="1:2" x14ac:dyDescent="0.2">
      <c r="A5" t="s">
        <v>25</v>
      </c>
      <c r="B5" t="s">
        <v>50</v>
      </c>
    </row>
    <row r="6" spans="1:2" x14ac:dyDescent="0.2">
      <c r="A6" t="s">
        <v>26</v>
      </c>
      <c r="B6" t="s">
        <v>22</v>
      </c>
    </row>
    <row r="7" spans="1:2" x14ac:dyDescent="0.2">
      <c r="A7" t="s">
        <v>27</v>
      </c>
      <c r="B7" t="s">
        <v>51</v>
      </c>
    </row>
    <row r="8" spans="1:2" x14ac:dyDescent="0.2">
      <c r="A8" s="33" t="s">
        <v>52</v>
      </c>
      <c r="B8" s="33" t="s">
        <v>87</v>
      </c>
    </row>
    <row r="9" spans="1:2" x14ac:dyDescent="0.2">
      <c r="A9" s="33" t="s">
        <v>52</v>
      </c>
      <c r="B9" s="33" t="s">
        <v>88</v>
      </c>
    </row>
    <row r="10" spans="1:2" x14ac:dyDescent="0.2">
      <c r="A10" s="33" t="s">
        <v>52</v>
      </c>
      <c r="B10" s="33" t="s">
        <v>89</v>
      </c>
    </row>
    <row r="11" spans="1:2" x14ac:dyDescent="0.2">
      <c r="A11" t="s">
        <v>52</v>
      </c>
      <c r="B11" t="s">
        <v>312</v>
      </c>
    </row>
    <row r="12" spans="1:2" x14ac:dyDescent="0.2">
      <c r="A12" t="s">
        <v>73</v>
      </c>
      <c r="B12" t="s">
        <v>74</v>
      </c>
    </row>
    <row r="13" spans="1:2" x14ac:dyDescent="0.2">
      <c r="A13" t="s">
        <v>53</v>
      </c>
      <c r="B13" t="s">
        <v>55</v>
      </c>
    </row>
    <row r="14" spans="1:2" x14ac:dyDescent="0.2">
      <c r="A14" t="s">
        <v>54</v>
      </c>
      <c r="B14" t="s">
        <v>56</v>
      </c>
    </row>
    <row r="15" spans="1:2" x14ac:dyDescent="0.2">
      <c r="A15" t="s">
        <v>77</v>
      </c>
      <c r="B15" t="s">
        <v>78</v>
      </c>
    </row>
    <row r="16" spans="1:2" x14ac:dyDescent="0.2">
      <c r="A16" t="s">
        <v>57</v>
      </c>
      <c r="B16" t="s">
        <v>65</v>
      </c>
    </row>
    <row r="17" spans="1:2" x14ac:dyDescent="0.2">
      <c r="A17" t="s">
        <v>58</v>
      </c>
      <c r="B17" t="s">
        <v>66</v>
      </c>
    </row>
    <row r="18" spans="1:2" x14ac:dyDescent="0.2">
      <c r="A18" t="s">
        <v>68</v>
      </c>
      <c r="B18" t="s">
        <v>67</v>
      </c>
    </row>
    <row r="19" spans="1:2" s="5" customFormat="1" x14ac:dyDescent="0.2">
      <c r="A19" s="5" t="s">
        <v>105</v>
      </c>
      <c r="B19" s="5" t="s">
        <v>104</v>
      </c>
    </row>
    <row r="20" spans="1:2" x14ac:dyDescent="0.2">
      <c r="A20" s="33" t="s">
        <v>230</v>
      </c>
      <c r="B20" s="33" t="s">
        <v>214</v>
      </c>
    </row>
    <row r="21" spans="1:2" x14ac:dyDescent="0.2">
      <c r="A21" s="33" t="s">
        <v>231</v>
      </c>
      <c r="B21" s="33" t="s">
        <v>215</v>
      </c>
    </row>
    <row r="22" spans="1:2" x14ac:dyDescent="0.2">
      <c r="A22" s="33" t="s">
        <v>232</v>
      </c>
      <c r="B22" s="33" t="s">
        <v>218</v>
      </c>
    </row>
    <row r="23" spans="1:2" x14ac:dyDescent="0.2">
      <c r="A23" s="33" t="s">
        <v>233</v>
      </c>
      <c r="B23" s="33" t="s">
        <v>219</v>
      </c>
    </row>
    <row r="24" spans="1:2" x14ac:dyDescent="0.2">
      <c r="A24" s="33" t="s">
        <v>212</v>
      </c>
      <c r="B24" s="33" t="s">
        <v>163</v>
      </c>
    </row>
    <row r="25" spans="1:2" x14ac:dyDescent="0.2">
      <c r="A25" s="33" t="s">
        <v>213</v>
      </c>
      <c r="B25" s="33" t="s">
        <v>211</v>
      </c>
    </row>
    <row r="26" spans="1:2" x14ac:dyDescent="0.2">
      <c r="A26" s="33" t="s">
        <v>164</v>
      </c>
      <c r="B26" s="33" t="s">
        <v>165</v>
      </c>
    </row>
    <row r="27" spans="1:2" x14ac:dyDescent="0.2">
      <c r="A27" s="33" t="s">
        <v>177</v>
      </c>
      <c r="B27" s="33" t="s">
        <v>178</v>
      </c>
    </row>
    <row r="28" spans="1:2" x14ac:dyDescent="0.2">
      <c r="A28" s="33" t="s">
        <v>197</v>
      </c>
      <c r="B28" s="33" t="s">
        <v>200</v>
      </c>
    </row>
    <row r="29" spans="1:2" x14ac:dyDescent="0.2">
      <c r="A29" s="33" t="s">
        <v>198</v>
      </c>
      <c r="B29" s="33" t="s">
        <v>201</v>
      </c>
    </row>
    <row r="30" spans="1:2" x14ac:dyDescent="0.2">
      <c r="A30" s="33" t="s">
        <v>199</v>
      </c>
      <c r="B30" s="33" t="s">
        <v>202</v>
      </c>
    </row>
    <row r="31" spans="1:2" x14ac:dyDescent="0.2">
      <c r="A31" s="33" t="s">
        <v>220</v>
      </c>
      <c r="B31" s="33" t="s">
        <v>221</v>
      </c>
    </row>
    <row r="32" spans="1:2" x14ac:dyDescent="0.2">
      <c r="A32" s="33" t="s">
        <v>234</v>
      </c>
      <c r="B32" s="33" t="s">
        <v>222</v>
      </c>
    </row>
    <row r="33" spans="1:2" x14ac:dyDescent="0.2">
      <c r="A33" s="33" t="s">
        <v>234</v>
      </c>
      <c r="B33" s="33" t="s">
        <v>223</v>
      </c>
    </row>
    <row r="34" spans="1:2" x14ac:dyDescent="0.2">
      <c r="A34" s="33" t="s">
        <v>234</v>
      </c>
      <c r="B34" s="33" t="s">
        <v>224</v>
      </c>
    </row>
    <row r="35" spans="1:2" x14ac:dyDescent="0.2">
      <c r="A35" s="33" t="s">
        <v>234</v>
      </c>
      <c r="B35" s="33" t="s">
        <v>225</v>
      </c>
    </row>
    <row r="36" spans="1:2" x14ac:dyDescent="0.2">
      <c r="A36" s="33" t="s">
        <v>226</v>
      </c>
      <c r="B36" s="33" t="s">
        <v>227</v>
      </c>
    </row>
    <row r="37" spans="1:2" x14ac:dyDescent="0.2">
      <c r="A37" s="33" t="s">
        <v>226</v>
      </c>
      <c r="B37" s="33" t="s">
        <v>228</v>
      </c>
    </row>
    <row r="38" spans="1:2" x14ac:dyDescent="0.2">
      <c r="A38" s="33" t="s">
        <v>226</v>
      </c>
      <c r="B38" s="33" t="s">
        <v>229</v>
      </c>
    </row>
    <row r="39" spans="1:2" x14ac:dyDescent="0.2">
      <c r="A39" s="33" t="s">
        <v>235</v>
      </c>
      <c r="B39" s="33" t="s">
        <v>236</v>
      </c>
    </row>
    <row r="40" spans="1:2" x14ac:dyDescent="0.2">
      <c r="A40" s="33" t="s">
        <v>235</v>
      </c>
      <c r="B40" s="33" t="s">
        <v>237</v>
      </c>
    </row>
    <row r="41" spans="1:2" x14ac:dyDescent="0.2">
      <c r="A41" s="33" t="s">
        <v>235</v>
      </c>
      <c r="B41" s="33" t="s">
        <v>238</v>
      </c>
    </row>
    <row r="42" spans="1:2" x14ac:dyDescent="0.2">
      <c r="A42" s="33" t="s">
        <v>235</v>
      </c>
      <c r="B42" s="33" t="s">
        <v>239</v>
      </c>
    </row>
    <row r="43" spans="1:2" x14ac:dyDescent="0.2">
      <c r="A43" s="33" t="s">
        <v>240</v>
      </c>
      <c r="B43" s="33" t="s">
        <v>242</v>
      </c>
    </row>
    <row r="44" spans="1:2" x14ac:dyDescent="0.2">
      <c r="A44" s="33" t="s">
        <v>240</v>
      </c>
      <c r="B44" s="33" t="s">
        <v>243</v>
      </c>
    </row>
    <row r="45" spans="1:2" x14ac:dyDescent="0.2">
      <c r="A45" s="33" t="s">
        <v>240</v>
      </c>
      <c r="B45" s="33" t="s">
        <v>244</v>
      </c>
    </row>
    <row r="46" spans="1:2" x14ac:dyDescent="0.2">
      <c r="A46" s="33" t="s">
        <v>240</v>
      </c>
      <c r="B46" s="33" t="s">
        <v>245</v>
      </c>
    </row>
    <row r="47" spans="1:2" x14ac:dyDescent="0.2">
      <c r="A47" s="33" t="s">
        <v>241</v>
      </c>
      <c r="B47" s="33" t="s">
        <v>246</v>
      </c>
    </row>
    <row r="48" spans="1:2" x14ac:dyDescent="0.2">
      <c r="A48" s="33" t="s">
        <v>241</v>
      </c>
      <c r="B48" s="33" t="s">
        <v>247</v>
      </c>
    </row>
    <row r="49" spans="1:2" x14ac:dyDescent="0.2">
      <c r="A49" s="33" t="s">
        <v>241</v>
      </c>
      <c r="B49" s="33" t="s">
        <v>248</v>
      </c>
    </row>
    <row r="50" spans="1:2" x14ac:dyDescent="0.2">
      <c r="A50" s="33" t="s">
        <v>241</v>
      </c>
      <c r="B50" s="33" t="s">
        <v>249</v>
      </c>
    </row>
    <row r="51" spans="1:2" x14ac:dyDescent="0.2">
      <c r="A51" s="33" t="s">
        <v>250</v>
      </c>
      <c r="B51" s="33" t="s">
        <v>254</v>
      </c>
    </row>
    <row r="52" spans="1:2" x14ac:dyDescent="0.2">
      <c r="A52" s="33" t="s">
        <v>251</v>
      </c>
      <c r="B52" s="33" t="s">
        <v>255</v>
      </c>
    </row>
    <row r="53" spans="1:2" x14ac:dyDescent="0.2">
      <c r="A53" s="33" t="s">
        <v>252</v>
      </c>
      <c r="B53" s="33" t="s">
        <v>256</v>
      </c>
    </row>
    <row r="54" spans="1:2" x14ac:dyDescent="0.2">
      <c r="A54" s="33" t="s">
        <v>253</v>
      </c>
      <c r="B54" s="33" t="s">
        <v>257</v>
      </c>
    </row>
    <row r="55" spans="1:2" x14ac:dyDescent="0.2">
      <c r="A55" s="33" t="s">
        <v>258</v>
      </c>
      <c r="B55" s="33" t="s">
        <v>262</v>
      </c>
    </row>
    <row r="56" spans="1:2" x14ac:dyDescent="0.2">
      <c r="A56" s="33" t="s">
        <v>259</v>
      </c>
      <c r="B56" s="33" t="s">
        <v>263</v>
      </c>
    </row>
    <row r="57" spans="1:2" x14ac:dyDescent="0.2">
      <c r="A57" s="33" t="s">
        <v>260</v>
      </c>
      <c r="B57" s="33" t="s">
        <v>264</v>
      </c>
    </row>
    <row r="58" spans="1:2" x14ac:dyDescent="0.2">
      <c r="A58" s="33" t="s">
        <v>261</v>
      </c>
      <c r="B58" s="33" t="s">
        <v>265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3B543-DFED-4F26-BBA9-35FF84F60FC4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>
        <f>('Calibration Values Used'!D35/5)/52</f>
        <v>3.0303030303030303E-4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829E9-395C-46FD-8D9B-0F803C299304}">
  <dimension ref="A1:A2"/>
  <sheetViews>
    <sheetView workbookViewId="0">
      <selection activeCell="I10" sqref="I10"/>
    </sheetView>
  </sheetViews>
  <sheetFormatPr baseColWidth="10" defaultColWidth="8.83203125" defaultRowHeight="15" x14ac:dyDescent="0.2"/>
  <sheetData>
    <row r="1" spans="1:1" x14ac:dyDescent="0.2">
      <c r="A1">
        <v>15</v>
      </c>
    </row>
    <row r="2" spans="1:1" x14ac:dyDescent="0.2">
      <c r="A2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0634-E7F0-4501-B234-70B80A5ACEAD}">
  <dimension ref="A1:A3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1" x14ac:dyDescent="0.2">
      <c r="A1">
        <v>0</v>
      </c>
    </row>
    <row r="2" spans="1:1" x14ac:dyDescent="0.2">
      <c r="A2">
        <v>1</v>
      </c>
    </row>
    <row r="3" spans="1:1" x14ac:dyDescent="0.2">
      <c r="A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DB7D-5FAB-449F-A1B4-C75BB90ED881}">
  <dimension ref="A1:A3"/>
  <sheetViews>
    <sheetView workbookViewId="0"/>
  </sheetViews>
  <sheetFormatPr baseColWidth="10" defaultColWidth="8.83203125" defaultRowHeight="15" x14ac:dyDescent="0.2"/>
  <sheetData>
    <row r="1" spans="1:1" x14ac:dyDescent="0.2">
      <c r="A1">
        <f>'Calibration Values Used'!D44</f>
        <v>9.9000000000000005E-2</v>
      </c>
    </row>
    <row r="2" spans="1:1" x14ac:dyDescent="0.2">
      <c r="A2">
        <f>'Calibration Values Used'!D45</f>
        <v>0.56899999999999995</v>
      </c>
    </row>
    <row r="3" spans="1:1" x14ac:dyDescent="0.2">
      <c r="A3">
        <f>'Calibration Values Used'!D46</f>
        <v>0.33200000000000002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5801C-7DCD-454E-9498-ABE33298AC06}">
  <dimension ref="A1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>
        <f>'Calibration Values Used'!D66</f>
        <v>1.25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0991-BCFC-0A40-BE52-494959099E28}">
  <dimension ref="A1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>
        <f>'Calibration Values Used'!D66</f>
        <v>1.25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DAA2-BB65-4744-8D52-6C87B5C313B1}">
  <dimension ref="A1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>
        <f>'Calibration Values Used'!D67</f>
        <v>1.25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9A8C-1A7A-4B7A-A383-DD1AA0870708}">
  <dimension ref="A1"/>
  <sheetViews>
    <sheetView workbookViewId="0">
      <selection activeCell="O22" sqref="O22"/>
    </sheetView>
  </sheetViews>
  <sheetFormatPr baseColWidth="10" defaultColWidth="8.83203125" defaultRowHeight="15" x14ac:dyDescent="0.2"/>
  <sheetData>
    <row r="1" spans="1:1" x14ac:dyDescent="0.2">
      <c r="A1">
        <f>'Calibration Values Used'!D68</f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SimDuration</vt:lpstr>
      <vt:lpstr>InflowProportion</vt:lpstr>
      <vt:lpstr>AgeDef</vt:lpstr>
      <vt:lpstr>RaceDef</vt:lpstr>
      <vt:lpstr>RaceProp</vt:lpstr>
      <vt:lpstr>InfectCalib_6wks</vt:lpstr>
      <vt:lpstr>InfectCalib_1</vt:lpstr>
      <vt:lpstr>InfectCalib_2</vt:lpstr>
      <vt:lpstr>InfectCalib_3</vt:lpstr>
      <vt:lpstr>HIVInfect</vt:lpstr>
      <vt:lpstr>YoungInfect</vt:lpstr>
      <vt:lpstr>MidInfect</vt:lpstr>
      <vt:lpstr>OldInfect</vt:lpstr>
      <vt:lpstr>RaceInfect</vt:lpstr>
      <vt:lpstr>RaceAware</vt:lpstr>
      <vt:lpstr>RaceVax</vt:lpstr>
      <vt:lpstr>isolationAdh</vt:lpstr>
      <vt:lpstr>Calibration Values Used</vt:lpstr>
      <vt:lpstr>FilePaths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Nguyen</dc:creator>
  <cp:lastModifiedBy>Microsoft Office User</cp:lastModifiedBy>
  <cp:lastPrinted>2020-08-31T02:31:04Z</cp:lastPrinted>
  <dcterms:created xsi:type="dcterms:W3CDTF">2019-09-10T05:59:14Z</dcterms:created>
  <dcterms:modified xsi:type="dcterms:W3CDTF">2024-11-19T04:09:32Z</dcterms:modified>
</cp:coreProperties>
</file>