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i/Desktop/Study/Physics/Laboratory works/genphys3-labs/3.2.5/"/>
    </mc:Choice>
  </mc:AlternateContent>
  <bookViews>
    <workbookView minimized="1" xWindow="900" yWindow="460" windowWidth="24700" windowHeight="15540"/>
  </bookViews>
  <sheets>
    <sheet name="Лист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54" i="1" l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AH51" i="1"/>
  <c r="AH53" i="1"/>
  <c r="AG51" i="1"/>
  <c r="AG53" i="1"/>
  <c r="AF51" i="1"/>
  <c r="AF53" i="1"/>
  <c r="AE51" i="1"/>
  <c r="AE53" i="1"/>
  <c r="AD51" i="1"/>
  <c r="AD53" i="1"/>
  <c r="AC51" i="1"/>
  <c r="AC53" i="1"/>
  <c r="AB51" i="1"/>
  <c r="AB53" i="1"/>
  <c r="AA51" i="1"/>
  <c r="AA53" i="1"/>
  <c r="Z51" i="1"/>
  <c r="Z53" i="1"/>
  <c r="Y51" i="1"/>
  <c r="Y53" i="1"/>
  <c r="X51" i="1"/>
  <c r="X53" i="1"/>
  <c r="W51" i="1"/>
  <c r="W53" i="1"/>
  <c r="V51" i="1"/>
  <c r="V53" i="1"/>
  <c r="U51" i="1"/>
  <c r="U53" i="1"/>
  <c r="T51" i="1"/>
  <c r="T53" i="1"/>
  <c r="S51" i="1"/>
  <c r="S53" i="1"/>
  <c r="R51" i="1"/>
  <c r="R53" i="1"/>
  <c r="Q51" i="1"/>
  <c r="Q53" i="1"/>
  <c r="P51" i="1"/>
  <c r="P53" i="1"/>
  <c r="O51" i="1"/>
  <c r="O53" i="1"/>
  <c r="N51" i="1"/>
  <c r="N53" i="1"/>
  <c r="M51" i="1"/>
  <c r="M53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40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I61" i="1"/>
  <c r="F61" i="1"/>
  <c r="I60" i="1"/>
  <c r="F60" i="1"/>
  <c r="I59" i="1"/>
  <c r="F59" i="1"/>
  <c r="I58" i="1"/>
  <c r="F58" i="1"/>
  <c r="I57" i="1"/>
  <c r="F57" i="1"/>
  <c r="I56" i="1"/>
  <c r="F56" i="1"/>
  <c r="I55" i="1"/>
  <c r="F55" i="1"/>
  <c r="I54" i="1"/>
  <c r="F54" i="1"/>
  <c r="I53" i="1"/>
  <c r="F53" i="1"/>
  <c r="I52" i="1"/>
  <c r="F52" i="1"/>
  <c r="I51" i="1"/>
  <c r="F51" i="1"/>
  <c r="I50" i="1"/>
  <c r="F50" i="1"/>
  <c r="I49" i="1"/>
  <c r="F49" i="1"/>
  <c r="I48" i="1"/>
  <c r="F48" i="1"/>
  <c r="I47" i="1"/>
  <c r="F47" i="1"/>
  <c r="I46" i="1"/>
  <c r="F46" i="1"/>
  <c r="I45" i="1"/>
  <c r="F45" i="1"/>
  <c r="I44" i="1"/>
  <c r="F44" i="1"/>
  <c r="I43" i="1"/>
  <c r="F43" i="1"/>
  <c r="I42" i="1"/>
  <c r="F42" i="1"/>
  <c r="I41" i="1"/>
  <c r="F41" i="1"/>
  <c r="I40" i="1"/>
  <c r="F40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6" i="1"/>
  <c r="AL10" i="1"/>
  <c r="AE20" i="1"/>
  <c r="AE21" i="1"/>
  <c r="AE22" i="1"/>
  <c r="AE23" i="1"/>
  <c r="AE24" i="1"/>
  <c r="AE25" i="1"/>
  <c r="AE26" i="1"/>
  <c r="AE19" i="1"/>
  <c r="AL20" i="1"/>
  <c r="AB32" i="1"/>
  <c r="AD32" i="1"/>
  <c r="AD21" i="1"/>
  <c r="AD22" i="1"/>
  <c r="AC20" i="1"/>
  <c r="AG20" i="1"/>
  <c r="AG21" i="1"/>
  <c r="AG22" i="1"/>
  <c r="AG23" i="1"/>
  <c r="AG24" i="1"/>
  <c r="AG25" i="1"/>
  <c r="AG26" i="1"/>
  <c r="AH26" i="1"/>
  <c r="AF26" i="1"/>
  <c r="AC26" i="1"/>
  <c r="AC25" i="1"/>
  <c r="AD24" i="1"/>
  <c r="AD25" i="1"/>
  <c r="AD26" i="1"/>
  <c r="AC24" i="1"/>
  <c r="AC23" i="1"/>
  <c r="AD23" i="1"/>
  <c r="AC22" i="1"/>
  <c r="AC21" i="1"/>
  <c r="AD20" i="1"/>
  <c r="AC19" i="1"/>
  <c r="AD19" i="1"/>
  <c r="AC18" i="1"/>
  <c r="AC17" i="1"/>
  <c r="AC16" i="1"/>
  <c r="AC15" i="1"/>
  <c r="AC14" i="1"/>
  <c r="AC13" i="1"/>
  <c r="AF13" i="1"/>
  <c r="AG13" i="1"/>
  <c r="AH13" i="1"/>
  <c r="AF14" i="1"/>
  <c r="AG14" i="1"/>
  <c r="AH14" i="1"/>
  <c r="AF15" i="1"/>
  <c r="AG15" i="1"/>
  <c r="AH15" i="1"/>
  <c r="AF16" i="1"/>
  <c r="AG16" i="1"/>
  <c r="AH16" i="1"/>
  <c r="AF17" i="1"/>
  <c r="AG17" i="1"/>
  <c r="AH17" i="1"/>
  <c r="AF18" i="1"/>
  <c r="AG18" i="1"/>
  <c r="AH18" i="1"/>
  <c r="AC12" i="1"/>
  <c r="AC10" i="1"/>
  <c r="AC11" i="1"/>
  <c r="AC9" i="1"/>
  <c r="AD7" i="1"/>
  <c r="AD8" i="1"/>
  <c r="AD9" i="1"/>
  <c r="AC7" i="1"/>
  <c r="AC8" i="1"/>
  <c r="AC6" i="1"/>
  <c r="AD6" i="1"/>
  <c r="AC3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O39" i="1"/>
  <c r="Q39" i="1"/>
  <c r="O38" i="1"/>
  <c r="Q38" i="1"/>
  <c r="O37" i="1"/>
  <c r="Q37" i="1"/>
  <c r="O36" i="1"/>
  <c r="Q36" i="1"/>
  <c r="O35" i="1"/>
  <c r="Q35" i="1"/>
  <c r="O34" i="1"/>
  <c r="Q34" i="1"/>
  <c r="O33" i="1"/>
  <c r="Q33" i="1"/>
  <c r="O32" i="1"/>
  <c r="Q32" i="1"/>
  <c r="O31" i="1"/>
  <c r="Q31" i="1"/>
  <c r="O30" i="1"/>
  <c r="Q30" i="1"/>
  <c r="O29" i="1"/>
  <c r="Q29" i="1"/>
  <c r="O28" i="1"/>
  <c r="Q28" i="1"/>
  <c r="O27" i="1"/>
  <c r="Q27" i="1"/>
  <c r="O26" i="1"/>
  <c r="Q26" i="1"/>
  <c r="O25" i="1"/>
  <c r="Q25" i="1"/>
  <c r="O24" i="1"/>
  <c r="Q24" i="1"/>
  <c r="O23" i="1"/>
  <c r="Q23" i="1"/>
  <c r="O22" i="1"/>
  <c r="Q22" i="1"/>
  <c r="O21" i="1"/>
  <c r="Q21" i="1"/>
  <c r="O20" i="1"/>
  <c r="Q20" i="1"/>
  <c r="O19" i="1"/>
  <c r="Q19" i="1"/>
  <c r="O18" i="1"/>
  <c r="Q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18" i="1"/>
  <c r="H18" i="1"/>
  <c r="B3" i="1"/>
  <c r="AT5" i="1"/>
  <c r="AU5" i="1"/>
  <c r="AT4" i="1"/>
  <c r="AU4" i="1"/>
  <c r="AP5" i="1"/>
  <c r="AF19" i="1"/>
  <c r="AF20" i="1"/>
  <c r="AF21" i="1"/>
  <c r="AF22" i="1"/>
  <c r="AF23" i="1"/>
  <c r="AF24" i="1"/>
  <c r="AF25" i="1"/>
  <c r="AC32" i="1"/>
  <c r="AQ5" i="1"/>
  <c r="AG19" i="1"/>
  <c r="AR5" i="1"/>
  <c r="AH19" i="1"/>
  <c r="AH20" i="1"/>
  <c r="AH21" i="1"/>
  <c r="AH22" i="1"/>
  <c r="AH23" i="1"/>
  <c r="AH24" i="1"/>
  <c r="AH25" i="1"/>
  <c r="AE32" i="1"/>
  <c r="AS5" i="1"/>
  <c r="AF6" i="1"/>
  <c r="AF7" i="1"/>
  <c r="AF8" i="1"/>
  <c r="AF9" i="1"/>
  <c r="AF10" i="1"/>
  <c r="AF11" i="1"/>
  <c r="AF12" i="1"/>
  <c r="AC31" i="1"/>
  <c r="AQ4" i="1"/>
  <c r="AG6" i="1"/>
  <c r="AG7" i="1"/>
  <c r="AG8" i="1"/>
  <c r="AG9" i="1"/>
  <c r="AG10" i="1"/>
  <c r="AG11" i="1"/>
  <c r="AG12" i="1"/>
  <c r="AD31" i="1"/>
  <c r="AR4" i="1"/>
  <c r="AH6" i="1"/>
  <c r="AH7" i="1"/>
  <c r="AH8" i="1"/>
  <c r="AH9" i="1"/>
  <c r="AH10" i="1"/>
  <c r="AH11" i="1"/>
  <c r="AH12" i="1"/>
  <c r="AE31" i="1"/>
  <c r="AS4" i="1"/>
  <c r="AB31" i="1"/>
  <c r="AP4" i="1"/>
  <c r="J33" i="1"/>
  <c r="AN5" i="1"/>
  <c r="K33" i="1"/>
  <c r="AO5" i="1"/>
  <c r="J32" i="1"/>
  <c r="K32" i="1"/>
  <c r="AO4" i="1"/>
  <c r="AN4" i="1"/>
  <c r="O7" i="1"/>
  <c r="Q7" i="1"/>
  <c r="P7" i="1"/>
  <c r="R7" i="1"/>
  <c r="P8" i="1"/>
  <c r="R8" i="1"/>
  <c r="P10" i="1"/>
  <c r="R10" i="1"/>
  <c r="P11" i="1"/>
  <c r="R11" i="1"/>
  <c r="P12" i="1"/>
  <c r="R12" i="1"/>
  <c r="P14" i="1"/>
  <c r="R14" i="1"/>
  <c r="P6" i="1"/>
  <c r="R6" i="1"/>
  <c r="O6" i="1"/>
  <c r="Q6" i="1"/>
  <c r="P9" i="1"/>
  <c r="R9" i="1"/>
  <c r="P13" i="1"/>
  <c r="R13" i="1"/>
  <c r="P15" i="1"/>
  <c r="R15" i="1"/>
  <c r="I33" i="1"/>
  <c r="E33" i="1"/>
  <c r="H33" i="1"/>
  <c r="H32" i="1"/>
  <c r="I32" i="1"/>
  <c r="E32" i="1"/>
  <c r="F17" i="1"/>
  <c r="H17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6" i="1"/>
  <c r="H6" i="1"/>
  <c r="B29" i="1"/>
  <c r="B28" i="1"/>
  <c r="O17" i="1"/>
  <c r="Q17" i="1"/>
  <c r="O16" i="1"/>
  <c r="Q16" i="1"/>
  <c r="O15" i="1"/>
  <c r="Q15" i="1"/>
  <c r="O14" i="1"/>
  <c r="Q14" i="1"/>
  <c r="O13" i="1"/>
  <c r="Q13" i="1"/>
  <c r="O12" i="1"/>
  <c r="Q12" i="1"/>
  <c r="O11" i="1"/>
  <c r="Q11" i="1"/>
  <c r="O10" i="1"/>
  <c r="Q10" i="1"/>
  <c r="O9" i="1"/>
  <c r="Q9" i="1"/>
  <c r="O8" i="1"/>
  <c r="Q8" i="1"/>
</calcChain>
</file>

<file path=xl/sharedStrings.xml><?xml version="1.0" encoding="utf-8"?>
<sst xmlns="http://schemas.openxmlformats.org/spreadsheetml/2006/main" count="81" uniqueCount="45">
  <si>
    <t>R</t>
  </si>
  <si>
    <t>ν, Гц</t>
  </si>
  <si>
    <t>U, В</t>
  </si>
  <si>
    <t>R, Ом</t>
  </si>
  <si>
    <r>
      <t>U/U</t>
    </r>
    <r>
      <rPr>
        <sz val="8"/>
        <color theme="1"/>
        <rFont val="Calibri"/>
        <family val="2"/>
        <charset val="204"/>
      </rPr>
      <t>0</t>
    </r>
  </si>
  <si>
    <r>
      <t>ν/ν</t>
    </r>
    <r>
      <rPr>
        <sz val="8"/>
        <color theme="1"/>
        <rFont val="Calibri"/>
        <family val="2"/>
        <charset val="204"/>
        <scheme val="minor"/>
      </rPr>
      <t>0</t>
    </r>
  </si>
  <si>
    <r>
      <t>U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В</t>
    </r>
  </si>
  <si>
    <t>ΔU, B</t>
  </si>
  <si>
    <t>Δν, Гц</t>
  </si>
  <si>
    <r>
      <t>Δν</t>
    </r>
    <r>
      <rPr>
        <sz val="8"/>
        <color theme="1"/>
        <rFont val="Calibri"/>
        <family val="2"/>
        <charset val="204"/>
      </rPr>
      <t>0</t>
    </r>
    <r>
      <rPr>
        <sz val="11"/>
        <color theme="1"/>
        <rFont val="Calibri"/>
        <family val="2"/>
        <charset val="204"/>
      </rPr>
      <t>, Гц</t>
    </r>
  </si>
  <si>
    <r>
      <t>Δν/ν</t>
    </r>
    <r>
      <rPr>
        <sz val="6"/>
        <color theme="1"/>
        <rFont val="Calibri"/>
        <family val="2"/>
        <charset val="204"/>
      </rPr>
      <t>0</t>
    </r>
  </si>
  <si>
    <r>
      <t>ν/ν</t>
    </r>
    <r>
      <rPr>
        <sz val="6"/>
        <color theme="1"/>
        <rFont val="Calibri"/>
        <family val="2"/>
        <charset val="204"/>
        <scheme val="minor"/>
      </rPr>
      <t>0</t>
    </r>
  </si>
  <si>
    <r>
      <t>U</t>
    </r>
    <r>
      <rPr>
        <sz val="6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В</t>
    </r>
  </si>
  <si>
    <r>
      <t>U/U</t>
    </r>
    <r>
      <rPr>
        <sz val="6"/>
        <color theme="1"/>
        <rFont val="Calibri"/>
        <family val="2"/>
        <charset val="204"/>
      </rPr>
      <t>0</t>
    </r>
  </si>
  <si>
    <r>
      <t>ΔU/U</t>
    </r>
    <r>
      <rPr>
        <sz val="6"/>
        <color theme="1"/>
        <rFont val="Calibri"/>
        <family val="2"/>
        <charset val="204"/>
      </rPr>
      <t>0</t>
    </r>
  </si>
  <si>
    <r>
      <t>ν</t>
    </r>
    <r>
      <rPr>
        <sz val="6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, Гц</t>
    </r>
  </si>
  <si>
    <r>
      <t>ν</t>
    </r>
    <r>
      <rPr>
        <sz val="6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, Гц</t>
    </r>
  </si>
  <si>
    <r>
      <t>ν</t>
    </r>
    <r>
      <rPr>
        <sz val="6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-ν</t>
    </r>
    <r>
      <rPr>
        <sz val="6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, Гц</t>
    </r>
  </si>
  <si>
    <r>
      <t>0,7U</t>
    </r>
    <r>
      <rPr>
        <sz val="6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, В</t>
    </r>
  </si>
  <si>
    <r>
      <t>Δ(ν</t>
    </r>
    <r>
      <rPr>
        <sz val="6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  <charset val="204"/>
      </rPr>
      <t>-ν</t>
    </r>
    <r>
      <rPr>
        <sz val="6"/>
        <color theme="1"/>
        <rFont val="Calibri"/>
        <family val="2"/>
        <charset val="204"/>
      </rPr>
      <t>1</t>
    </r>
    <r>
      <rPr>
        <sz val="11"/>
        <color theme="1"/>
        <rFont val="Calibri"/>
        <family val="2"/>
        <charset val="204"/>
      </rPr>
      <t>), Гц</t>
    </r>
  </si>
  <si>
    <t>Q</t>
  </si>
  <si>
    <t>ΔQ</t>
  </si>
  <si>
    <t>экспер</t>
  </si>
  <si>
    <t>n</t>
  </si>
  <si>
    <r>
      <t>U</t>
    </r>
    <r>
      <rPr>
        <sz val="8"/>
        <color theme="1"/>
        <rFont val="Calibri"/>
        <family val="2"/>
        <charset val="204"/>
        <scheme val="minor"/>
      </rPr>
      <t>k+n</t>
    </r>
    <r>
      <rPr>
        <sz val="11"/>
        <color theme="1"/>
        <rFont val="Calibri"/>
        <family val="2"/>
        <charset val="204"/>
        <scheme val="minor"/>
      </rPr>
      <t>, B</t>
    </r>
  </si>
  <si>
    <r>
      <t>U</t>
    </r>
    <r>
      <rPr>
        <sz val="8"/>
        <color theme="1"/>
        <rFont val="Calibri"/>
        <family val="2"/>
        <charset val="204"/>
        <scheme val="minor"/>
      </rPr>
      <t>k</t>
    </r>
    <r>
      <rPr>
        <sz val="11"/>
        <color theme="1"/>
        <rFont val="Calibri"/>
        <family val="2"/>
        <charset val="204"/>
        <scheme val="minor"/>
      </rPr>
      <t>, B</t>
    </r>
  </si>
  <si>
    <t>Для 100 Ом исправить E3 на L3</t>
  </si>
  <si>
    <t>R, Oм</t>
  </si>
  <si>
    <r>
      <t>Q</t>
    </r>
    <r>
      <rPr>
        <sz val="8"/>
        <color theme="1"/>
        <rFont val="Calibri"/>
        <family val="2"/>
        <charset val="204"/>
      </rPr>
      <t>теор</t>
    </r>
  </si>
  <si>
    <r>
      <t xml:space="preserve">Q </t>
    </r>
    <r>
      <rPr>
        <sz val="8"/>
        <color theme="1"/>
        <rFont val="Calibri"/>
        <family val="2"/>
        <charset val="204"/>
      </rPr>
      <t>по 0.7</t>
    </r>
  </si>
  <si>
    <r>
      <t xml:space="preserve">Q </t>
    </r>
    <r>
      <rPr>
        <sz val="8"/>
        <color theme="1"/>
        <rFont val="Calibri"/>
        <family val="2"/>
        <charset val="204"/>
      </rPr>
      <t>нар</t>
    </r>
  </si>
  <si>
    <r>
      <t>R</t>
    </r>
    <r>
      <rPr>
        <sz val="8"/>
        <color theme="1"/>
        <rFont val="Calibri"/>
        <family val="2"/>
        <charset val="204"/>
        <scheme val="minor"/>
      </rPr>
      <t>кон</t>
    </r>
    <r>
      <rPr>
        <sz val="11"/>
        <color theme="1"/>
        <rFont val="Calibri"/>
        <family val="2"/>
        <charset val="204"/>
        <scheme val="minor"/>
      </rPr>
      <t>, Ом</t>
    </r>
  </si>
  <si>
    <t>L, мГн</t>
  </si>
  <si>
    <t>C, мкФ</t>
  </si>
  <si>
    <r>
      <t>ν</t>
    </r>
    <r>
      <rPr>
        <sz val="7"/>
        <color theme="1"/>
        <rFont val="Calibri"/>
        <family val="2"/>
        <charset val="204"/>
      </rPr>
      <t>0, Гц</t>
    </r>
  </si>
  <si>
    <t>U_0</t>
  </si>
  <si>
    <t>вверх</t>
  </si>
  <si>
    <t>вниз</t>
  </si>
  <si>
    <t>U_0 на осциллографе</t>
  </si>
  <si>
    <t>R_l</t>
  </si>
  <si>
    <t>nu</t>
  </si>
  <si>
    <t>L</t>
  </si>
  <si>
    <t>мГн</t>
  </si>
  <si>
    <t>Гн</t>
  </si>
  <si>
    <r>
      <t>Δν/ν</t>
    </r>
    <r>
      <rPr>
        <sz val="6"/>
        <color theme="1"/>
        <rFont val="Calibri"/>
        <family val="2"/>
        <charset val="204"/>
      </rPr>
      <t>0, 10^-5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</si>
</sst>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"/>
      <color theme="1"/>
      <name val="Calibri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6"/>
      <color theme="1"/>
      <name val="Calibri"/>
      <family val="2"/>
      <charset val="204"/>
    </font>
    <font>
      <sz val="6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8" fontId="0" fillId="0" borderId="1" xfId="0" applyNumberFormat="1" applyBorder="1"/>
    <xf numFmtId="2" fontId="0" fillId="0" borderId="1" xfId="0" applyNumberFormat="1" applyBorder="1"/>
    <xf numFmtId="11" fontId="0" fillId="0" borderId="1" xfId="0" applyNumberFormat="1" applyBorder="1"/>
    <xf numFmtId="1" fontId="0" fillId="0" borderId="1" xfId="0" applyNumberFormat="1" applyBorder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U/U</a:t>
            </a:r>
            <a:r>
              <a:rPr lang="en-US" sz="800"/>
              <a:t>0</a:t>
            </a:r>
            <a:r>
              <a:rPr lang="ru-RU" baseline="0"/>
              <a:t> от </a:t>
            </a:r>
            <a:r>
              <a:rPr lang="el-GR" baseline="0"/>
              <a:t>ν/ν</a:t>
            </a:r>
            <a:r>
              <a:rPr lang="el-GR" sz="800" baseline="0"/>
              <a:t>0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0648059635820376"/>
          <c:y val="0.0925080950754786"/>
          <c:w val="0.873259186351706"/>
          <c:h val="0.80377285033059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Лист1!$G$6:$G$17</c:f>
                <c:numCache>
                  <c:formatCode>General</c:formatCode>
                  <c:ptCount val="12"/>
                  <c:pt idx="0">
                    <c:v>6.468696555016725</c:v>
                  </c:pt>
                  <c:pt idx="1">
                    <c:v>6.45256514216132E-5</c:v>
                  </c:pt>
                  <c:pt idx="2">
                    <c:v>6.43240087609207E-5</c:v>
                  </c:pt>
                  <c:pt idx="3">
                    <c:v>6.41223661002281E-5</c:v>
                  </c:pt>
                  <c:pt idx="4">
                    <c:v>6.39207234395356E-5</c:v>
                  </c:pt>
                  <c:pt idx="5">
                    <c:v>6.3719080778843E-5</c:v>
                  </c:pt>
                  <c:pt idx="6">
                    <c:v>6.3477109586012E-5</c:v>
                  </c:pt>
                  <c:pt idx="7">
                    <c:v>6.3315795457458E-5</c:v>
                  </c:pt>
                  <c:pt idx="8">
                    <c:v>6.31141527967654E-5</c:v>
                  </c:pt>
                  <c:pt idx="9">
                    <c:v>6.29528386682114E-5</c:v>
                  </c:pt>
                  <c:pt idx="10">
                    <c:v>6.27511960075189E-5</c:v>
                  </c:pt>
                  <c:pt idx="11">
                    <c:v>6.24688962825493E-5</c:v>
                  </c:pt>
                </c:numCache>
              </c:numRef>
            </c:plus>
            <c:minus>
              <c:numRef>
                <c:f>Лист1!$G$6:$G$17</c:f>
                <c:numCache>
                  <c:formatCode>General</c:formatCode>
                  <c:ptCount val="12"/>
                  <c:pt idx="0">
                    <c:v>6.468696555016725</c:v>
                  </c:pt>
                  <c:pt idx="1">
                    <c:v>6.45256514216132E-5</c:v>
                  </c:pt>
                  <c:pt idx="2">
                    <c:v>6.43240087609207E-5</c:v>
                  </c:pt>
                  <c:pt idx="3">
                    <c:v>6.41223661002281E-5</c:v>
                  </c:pt>
                  <c:pt idx="4">
                    <c:v>6.39207234395356E-5</c:v>
                  </c:pt>
                  <c:pt idx="5">
                    <c:v>6.3719080778843E-5</c:v>
                  </c:pt>
                  <c:pt idx="6">
                    <c:v>6.3477109586012E-5</c:v>
                  </c:pt>
                  <c:pt idx="7">
                    <c:v>6.3315795457458E-5</c:v>
                  </c:pt>
                  <c:pt idx="8">
                    <c:v>6.31141527967654E-5</c:v>
                  </c:pt>
                  <c:pt idx="9">
                    <c:v>6.29528386682114E-5</c:v>
                  </c:pt>
                  <c:pt idx="10">
                    <c:v>6.27511960075189E-5</c:v>
                  </c:pt>
                  <c:pt idx="11">
                    <c:v>6.24688962825493E-5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Лист1!$H$6:$H$17</c:f>
                <c:numCache>
                  <c:formatCode>General</c:formatCode>
                  <c:ptCount val="12"/>
                  <c:pt idx="0">
                    <c:v>0.00441941738241592</c:v>
                  </c:pt>
                  <c:pt idx="1">
                    <c:v>0.0042502912533761</c:v>
                  </c:pt>
                  <c:pt idx="2">
                    <c:v>0.00402647033751724</c:v>
                  </c:pt>
                  <c:pt idx="3">
                    <c:v>0.00390625</c:v>
                  </c:pt>
                  <c:pt idx="4">
                    <c:v>0.00379228278104445</c:v>
                  </c:pt>
                  <c:pt idx="5">
                    <c:v>0.00368514887970961</c:v>
                  </c:pt>
                  <c:pt idx="6">
                    <c:v>0.00358546088880582</c:v>
                  </c:pt>
                  <c:pt idx="7">
                    <c:v>0.00349385621484342</c:v>
                  </c:pt>
                  <c:pt idx="8">
                    <c:v>0.00341098617120566</c:v>
                  </c:pt>
                  <c:pt idx="9">
                    <c:v>0.00333750146301466</c:v>
                  </c:pt>
                  <c:pt idx="10">
                    <c:v>0.00327403410434379</c:v>
                  </c:pt>
                  <c:pt idx="11">
                    <c:v>0.00428353753895729</c:v>
                  </c:pt>
                </c:numCache>
              </c:numRef>
            </c:plus>
            <c:minus>
              <c:numRef>
                <c:f>Лист1!$H$6:$H$17</c:f>
                <c:numCache>
                  <c:formatCode>General</c:formatCode>
                  <c:ptCount val="12"/>
                  <c:pt idx="0">
                    <c:v>0.00441941738241592</c:v>
                  </c:pt>
                  <c:pt idx="1">
                    <c:v>0.0042502912533761</c:v>
                  </c:pt>
                  <c:pt idx="2">
                    <c:v>0.00402647033751724</c:v>
                  </c:pt>
                  <c:pt idx="3">
                    <c:v>0.00390625</c:v>
                  </c:pt>
                  <c:pt idx="4">
                    <c:v>0.00379228278104445</c:v>
                  </c:pt>
                  <c:pt idx="5">
                    <c:v>0.00368514887970961</c:v>
                  </c:pt>
                  <c:pt idx="6">
                    <c:v>0.00358546088880582</c:v>
                  </c:pt>
                  <c:pt idx="7">
                    <c:v>0.00349385621484342</c:v>
                  </c:pt>
                  <c:pt idx="8">
                    <c:v>0.00341098617120566</c:v>
                  </c:pt>
                  <c:pt idx="9">
                    <c:v>0.00333750146301466</c:v>
                  </c:pt>
                  <c:pt idx="10">
                    <c:v>0.00327403410434379</c:v>
                  </c:pt>
                  <c:pt idx="11">
                    <c:v>0.00428353753895729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Лист1!$E$6:$E$27</c:f>
              <c:numCache>
                <c:formatCode>0.00</c:formatCode>
                <c:ptCount val="22"/>
                <c:pt idx="0">
                  <c:v>1.029525032092426</c:v>
                </c:pt>
                <c:pt idx="1">
                  <c:v>1.026957637997433</c:v>
                </c:pt>
                <c:pt idx="2">
                  <c:v>1.023748395378691</c:v>
                </c:pt>
                <c:pt idx="3">
                  <c:v>1.020539152759949</c:v>
                </c:pt>
                <c:pt idx="4">
                  <c:v>1.017329910141207</c:v>
                </c:pt>
                <c:pt idx="5">
                  <c:v>1.014120667522465</c:v>
                </c:pt>
                <c:pt idx="6">
                  <c:v>1.010269576379974</c:v>
                </c:pt>
                <c:pt idx="7">
                  <c:v>1.007702182284981</c:v>
                </c:pt>
                <c:pt idx="8">
                  <c:v>1.004492939666239</c:v>
                </c:pt>
                <c:pt idx="9">
                  <c:v>1.001925545571245</c:v>
                </c:pt>
                <c:pt idx="10">
                  <c:v>0.998716302952503</c:v>
                </c:pt>
                <c:pt idx="11">
                  <c:v>0.994223363286264</c:v>
                </c:pt>
                <c:pt idx="12">
                  <c:v>0.991655969191271</c:v>
                </c:pt>
                <c:pt idx="13">
                  <c:v>0.988446726572529</c:v>
                </c:pt>
                <c:pt idx="14">
                  <c:v>0.985237483953787</c:v>
                </c:pt>
                <c:pt idx="15">
                  <c:v>1.0</c:v>
                </c:pt>
                <c:pt idx="16">
                  <c:v>1.003209242618742</c:v>
                </c:pt>
                <c:pt idx="17">
                  <c:v>1.00385109114249</c:v>
                </c:pt>
                <c:pt idx="18">
                  <c:v>1.002567394094994</c:v>
                </c:pt>
                <c:pt idx="19">
                  <c:v>0.998074454428755</c:v>
                </c:pt>
                <c:pt idx="20">
                  <c:v>0.996790757381258</c:v>
                </c:pt>
                <c:pt idx="21">
                  <c:v>0.999358151476252</c:v>
                </c:pt>
              </c:numCache>
            </c:numRef>
          </c:xVal>
          <c:yVal>
            <c:numRef>
              <c:f>Лист1!$F$6:$F$27</c:f>
              <c:numCache>
                <c:formatCode>General</c:formatCode>
                <c:ptCount val="22"/>
                <c:pt idx="0">
                  <c:v>1.0</c:v>
                </c:pt>
                <c:pt idx="1">
                  <c:v>0.921875</c:v>
                </c:pt>
                <c:pt idx="2">
                  <c:v>0.8125</c:v>
                </c:pt>
                <c:pt idx="3">
                  <c:v>0.75</c:v>
                </c:pt>
                <c:pt idx="4">
                  <c:v>0.6875</c:v>
                </c:pt>
                <c:pt idx="5">
                  <c:v>0.625</c:v>
                </c:pt>
                <c:pt idx="6">
                  <c:v>0.5625</c:v>
                </c:pt>
                <c:pt idx="7">
                  <c:v>0.5</c:v>
                </c:pt>
                <c:pt idx="8">
                  <c:v>0.4375</c:v>
                </c:pt>
                <c:pt idx="9">
                  <c:v>0.375</c:v>
                </c:pt>
                <c:pt idx="10">
                  <c:v>0.3125</c:v>
                </c:pt>
                <c:pt idx="11">
                  <c:v>0.9375</c:v>
                </c:pt>
                <c:pt idx="12">
                  <c:v>0.875</c:v>
                </c:pt>
                <c:pt idx="13">
                  <c:v>0.8125</c:v>
                </c:pt>
                <c:pt idx="14">
                  <c:v>0.75</c:v>
                </c:pt>
                <c:pt idx="15">
                  <c:v>0.6875</c:v>
                </c:pt>
                <c:pt idx="16">
                  <c:v>0.625</c:v>
                </c:pt>
                <c:pt idx="17">
                  <c:v>0.5625</c:v>
                </c:pt>
                <c:pt idx="18">
                  <c:v>0.5</c:v>
                </c:pt>
                <c:pt idx="19">
                  <c:v>0.4375</c:v>
                </c:pt>
                <c:pt idx="20">
                  <c:v>0.375</c:v>
                </c:pt>
                <c:pt idx="21">
                  <c:v>0.3125</c:v>
                </c:pt>
              </c:numCache>
            </c:numRef>
          </c:yVal>
          <c:smooth val="0"/>
        </c:ser>
        <c:ser>
          <c:idx val="1"/>
          <c:order val="1"/>
          <c:tx>
            <c:v>0,7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numRef>
              <c:f>Лист1!$B$28:$B$29</c:f>
              <c:numCache>
                <c:formatCode>General</c:formatCode>
                <c:ptCount val="2"/>
                <c:pt idx="0">
                  <c:v>0.5</c:v>
                </c:pt>
                <c:pt idx="1">
                  <c:v>2.0</c:v>
                </c:pt>
              </c:numCache>
            </c:numRef>
          </c:xVal>
          <c:yVal>
            <c:numRef>
              <c:f>Лист1!$C$28:$C$29</c:f>
              <c:numCache>
                <c:formatCode>General</c:formatCode>
                <c:ptCount val="2"/>
                <c:pt idx="0">
                  <c:v>0.7</c:v>
                </c:pt>
                <c:pt idx="1">
                  <c:v>0.7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Лист1!$R$6:$R$17</c:f>
                <c:numCache>
                  <c:formatCode>General</c:formatCode>
                  <c:ptCount val="12"/>
                  <c:pt idx="0">
                    <c:v>0.0153588690292149</c:v>
                  </c:pt>
                  <c:pt idx="1">
                    <c:v>0.0153353970333618</c:v>
                  </c:pt>
                  <c:pt idx="2">
                    <c:v>0.0152996434173869</c:v>
                  </c:pt>
                  <c:pt idx="3">
                    <c:v>0.0152661206798849</c:v>
                  </c:pt>
                  <c:pt idx="4">
                    <c:v>0.0152348435473324</c:v>
                  </c:pt>
                  <c:pt idx="5">
                    <c:v>0.0152058258768095</c:v>
                  </c:pt>
                  <c:pt idx="6">
                    <c:v>0.015179080626483</c:v>
                  </c:pt>
                  <c:pt idx="7">
                    <c:v>0.0151546198276288</c:v>
                  </c:pt>
                  <c:pt idx="8">
                    <c:v>0.0151324545583299</c:v>
                  </c:pt>
                  <c:pt idx="9">
                    <c:v>0.0151125949189788</c:v>
                  </c:pt>
                  <c:pt idx="10">
                    <c:v>0.0150950500097097</c:v>
                  </c:pt>
                  <c:pt idx="11">
                    <c:v>0.0150798279098734</c:v>
                  </c:pt>
                </c:numCache>
              </c:numRef>
            </c:plus>
            <c:minus>
              <c:numRef>
                <c:f>Лист1!$R$6:$R$17</c:f>
                <c:numCache>
                  <c:formatCode>General</c:formatCode>
                  <c:ptCount val="12"/>
                  <c:pt idx="0">
                    <c:v>0.0153588690292149</c:v>
                  </c:pt>
                  <c:pt idx="1">
                    <c:v>0.0153353970333618</c:v>
                  </c:pt>
                  <c:pt idx="2">
                    <c:v>0.0152996434173869</c:v>
                  </c:pt>
                  <c:pt idx="3">
                    <c:v>0.0152661206798849</c:v>
                  </c:pt>
                  <c:pt idx="4">
                    <c:v>0.0152348435473324</c:v>
                  </c:pt>
                  <c:pt idx="5">
                    <c:v>0.0152058258768095</c:v>
                  </c:pt>
                  <c:pt idx="6">
                    <c:v>0.015179080626483</c:v>
                  </c:pt>
                  <c:pt idx="7">
                    <c:v>0.0151546198276288</c:v>
                  </c:pt>
                  <c:pt idx="8">
                    <c:v>0.0151324545583299</c:v>
                  </c:pt>
                  <c:pt idx="9">
                    <c:v>0.0151125949189788</c:v>
                  </c:pt>
                  <c:pt idx="10">
                    <c:v>0.0150950500097097</c:v>
                  </c:pt>
                  <c:pt idx="11">
                    <c:v>0.0150798279098734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Лист1!$Q$6:$Q$17</c:f>
                <c:numCache>
                  <c:formatCode>General</c:formatCode>
                  <c:ptCount val="12"/>
                  <c:pt idx="0">
                    <c:v>6.22574645620717E-5</c:v>
                  </c:pt>
                  <c:pt idx="1">
                    <c:v>6.12705041219627E-5</c:v>
                  </c:pt>
                  <c:pt idx="2">
                    <c:v>6.05204141874799E-5</c:v>
                  </c:pt>
                  <c:pt idx="3">
                    <c:v>5.99282379234146E-5</c:v>
                  </c:pt>
                  <c:pt idx="4">
                    <c:v>5.94544969121623E-5</c:v>
                  </c:pt>
                  <c:pt idx="5">
                    <c:v>5.89017990657013E-5</c:v>
                  </c:pt>
                  <c:pt idx="6">
                    <c:v>5.83096228016359E-5</c:v>
                  </c:pt>
                  <c:pt idx="7">
                    <c:v>5.77569249551749E-5</c:v>
                  </c:pt>
                  <c:pt idx="8">
                    <c:v>5.70463134382965E-5</c:v>
                  </c:pt>
                  <c:pt idx="9">
                    <c:v>5.69278781854834E-5</c:v>
                  </c:pt>
                  <c:pt idx="10">
                    <c:v>5.53092630637048E-5</c:v>
                  </c:pt>
                  <c:pt idx="11">
                    <c:v>5.41643889531784E-5</c:v>
                  </c:pt>
                </c:numCache>
              </c:numRef>
            </c:plus>
            <c:minus>
              <c:numRef>
                <c:f>Лист1!$Q$6:$Q$17</c:f>
                <c:numCache>
                  <c:formatCode>General</c:formatCode>
                  <c:ptCount val="12"/>
                  <c:pt idx="0">
                    <c:v>6.22574645620717E-5</c:v>
                  </c:pt>
                  <c:pt idx="1">
                    <c:v>6.12705041219627E-5</c:v>
                  </c:pt>
                  <c:pt idx="2">
                    <c:v>6.05204141874799E-5</c:v>
                  </c:pt>
                  <c:pt idx="3">
                    <c:v>5.99282379234146E-5</c:v>
                  </c:pt>
                  <c:pt idx="4">
                    <c:v>5.94544969121623E-5</c:v>
                  </c:pt>
                  <c:pt idx="5">
                    <c:v>5.89017990657013E-5</c:v>
                  </c:pt>
                  <c:pt idx="6">
                    <c:v>5.83096228016359E-5</c:v>
                  </c:pt>
                  <c:pt idx="7">
                    <c:v>5.77569249551749E-5</c:v>
                  </c:pt>
                  <c:pt idx="8">
                    <c:v>5.70463134382965E-5</c:v>
                  </c:pt>
                  <c:pt idx="9">
                    <c:v>5.69278781854834E-5</c:v>
                  </c:pt>
                  <c:pt idx="10">
                    <c:v>5.53092630637048E-5</c:v>
                  </c:pt>
                  <c:pt idx="11">
                    <c:v>5.41643889531784E-5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Лист1!$O$6:$O$39</c:f>
              <c:numCache>
                <c:formatCode>General</c:formatCode>
                <c:ptCount val="34"/>
                <c:pt idx="0">
                  <c:v>0.990858322942221</c:v>
                </c:pt>
                <c:pt idx="1">
                  <c:v>0.975150359674272</c:v>
                </c:pt>
                <c:pt idx="2">
                  <c:v>0.963212307590631</c:v>
                </c:pt>
                <c:pt idx="3">
                  <c:v>0.953787529629861</c:v>
                </c:pt>
                <c:pt idx="4">
                  <c:v>0.946247707261246</c:v>
                </c:pt>
                <c:pt idx="5">
                  <c:v>0.937451247831194</c:v>
                </c:pt>
                <c:pt idx="6">
                  <c:v>0.928026469870425</c:v>
                </c:pt>
                <c:pt idx="7">
                  <c:v>0.919230010440373</c:v>
                </c:pt>
                <c:pt idx="8">
                  <c:v>0.90792027688745</c:v>
                </c:pt>
                <c:pt idx="9">
                  <c:v>0.906035321295296</c:v>
                </c:pt>
                <c:pt idx="10">
                  <c:v>0.88027426153586</c:v>
                </c:pt>
                <c:pt idx="11">
                  <c:v>0.862053024145039</c:v>
                </c:pt>
                <c:pt idx="12">
                  <c:v>0.974522041143554</c:v>
                </c:pt>
                <c:pt idx="13">
                  <c:v>0.963212307590631</c:v>
                </c:pt>
                <c:pt idx="14">
                  <c:v>0.953787529629861</c:v>
                </c:pt>
                <c:pt idx="15">
                  <c:v>0.945619388730528</c:v>
                </c:pt>
                <c:pt idx="16">
                  <c:v>0.937451247831194</c:v>
                </c:pt>
                <c:pt idx="17">
                  <c:v>0.928026469870425</c:v>
                </c:pt>
                <c:pt idx="18">
                  <c:v>0.918601691909655</c:v>
                </c:pt>
                <c:pt idx="19">
                  <c:v>0.90792027688745</c:v>
                </c:pt>
                <c:pt idx="20">
                  <c:v>0.894725587742373</c:v>
                </c:pt>
                <c:pt idx="21">
                  <c:v>0.880902580066578</c:v>
                </c:pt>
                <c:pt idx="22">
                  <c:v>0.863309661206475</c:v>
                </c:pt>
                <c:pt idx="23">
                  <c:v>1.011592834455913</c:v>
                </c:pt>
                <c:pt idx="24">
                  <c:v>1.02478752360099</c:v>
                </c:pt>
                <c:pt idx="25">
                  <c:v>1.035468938623196</c:v>
                </c:pt>
                <c:pt idx="26">
                  <c:v>1.046778672176119</c:v>
                </c:pt>
                <c:pt idx="27">
                  <c:v>1.05871672425976</c:v>
                </c:pt>
                <c:pt idx="28">
                  <c:v>1.072539731935555</c:v>
                </c:pt>
                <c:pt idx="29">
                  <c:v>1.088247695203504</c:v>
                </c:pt>
                <c:pt idx="30">
                  <c:v>1.106468932594325</c:v>
                </c:pt>
                <c:pt idx="31">
                  <c:v>1.130345036761607</c:v>
                </c:pt>
                <c:pt idx="32">
                  <c:v>1.159247689174634</c:v>
                </c:pt>
                <c:pt idx="33">
                  <c:v>1.205114941917045</c:v>
                </c:pt>
              </c:numCache>
            </c:numRef>
          </c:xVal>
          <c:yVal>
            <c:numRef>
              <c:f>Лист1!$P$6:$P$39</c:f>
              <c:numCache>
                <c:formatCode>General</c:formatCode>
                <c:ptCount val="34"/>
                <c:pt idx="0">
                  <c:v>1.0</c:v>
                </c:pt>
                <c:pt idx="1">
                  <c:v>0.962406015037594</c:v>
                </c:pt>
                <c:pt idx="2">
                  <c:v>0.902255639097744</c:v>
                </c:pt>
                <c:pt idx="3">
                  <c:v>0.842105263157895</c:v>
                </c:pt>
                <c:pt idx="4">
                  <c:v>0.781954887218045</c:v>
                </c:pt>
                <c:pt idx="5">
                  <c:v>0.721804511278195</c:v>
                </c:pt>
                <c:pt idx="6">
                  <c:v>0.661654135338346</c:v>
                </c:pt>
                <c:pt idx="7">
                  <c:v>0.601503759398496</c:v>
                </c:pt>
                <c:pt idx="8">
                  <c:v>0.541353383458647</c:v>
                </c:pt>
                <c:pt idx="9">
                  <c:v>0.481203007518797</c:v>
                </c:pt>
                <c:pt idx="10">
                  <c:v>0.421052631578947</c:v>
                </c:pt>
                <c:pt idx="11">
                  <c:v>0.360902255639098</c:v>
                </c:pt>
                <c:pt idx="12">
                  <c:v>0.962406015037594</c:v>
                </c:pt>
                <c:pt idx="13">
                  <c:v>0.902255639097744</c:v>
                </c:pt>
                <c:pt idx="14">
                  <c:v>0.842105263157895</c:v>
                </c:pt>
                <c:pt idx="15">
                  <c:v>0.781954887218045</c:v>
                </c:pt>
                <c:pt idx="16">
                  <c:v>0.721804511278195</c:v>
                </c:pt>
                <c:pt idx="17">
                  <c:v>0.661654135338346</c:v>
                </c:pt>
                <c:pt idx="18">
                  <c:v>0.601503759398496</c:v>
                </c:pt>
                <c:pt idx="19">
                  <c:v>0.541353383458647</c:v>
                </c:pt>
                <c:pt idx="20">
                  <c:v>0.481203007518797</c:v>
                </c:pt>
                <c:pt idx="21">
                  <c:v>0.421052631578947</c:v>
                </c:pt>
                <c:pt idx="22">
                  <c:v>0.360902255639098</c:v>
                </c:pt>
                <c:pt idx="23">
                  <c:v>0.962406015037594</c:v>
                </c:pt>
                <c:pt idx="24">
                  <c:v>0.902255639097744</c:v>
                </c:pt>
                <c:pt idx="25">
                  <c:v>0.842105263157895</c:v>
                </c:pt>
                <c:pt idx="26">
                  <c:v>0.781954887218045</c:v>
                </c:pt>
                <c:pt idx="27">
                  <c:v>0.721804511278195</c:v>
                </c:pt>
                <c:pt idx="28">
                  <c:v>0.661654135338346</c:v>
                </c:pt>
                <c:pt idx="29">
                  <c:v>0.601503759398496</c:v>
                </c:pt>
                <c:pt idx="30">
                  <c:v>0.541353383458647</c:v>
                </c:pt>
                <c:pt idx="31">
                  <c:v>0.481203007518797</c:v>
                </c:pt>
                <c:pt idx="32">
                  <c:v>0.421052631578947</c:v>
                </c:pt>
                <c:pt idx="33">
                  <c:v>0.360902255639098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892784"/>
        <c:axId val="2102899136"/>
      </c:scatterChart>
      <c:valAx>
        <c:axId val="2102892784"/>
        <c:scaling>
          <c:orientation val="minMax"/>
          <c:max val="1.4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ν/ν</a:t>
                </a:r>
                <a:r>
                  <a:rPr lang="el-GR" sz="600"/>
                  <a:t>0</a:t>
                </a:r>
                <a:endParaRPr lang="ru-RU" sz="600"/>
              </a:p>
            </c:rich>
          </c:tx>
          <c:layout>
            <c:manualLayout>
              <c:xMode val="edge"/>
              <c:yMode val="edge"/>
              <c:x val="0.936801174706963"/>
              <c:y val="0.818495188101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899136"/>
        <c:crosses val="autoZero"/>
        <c:crossBetween val="midCat"/>
      </c:valAx>
      <c:valAx>
        <c:axId val="21028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U/U</a:t>
                </a:r>
                <a:r>
                  <a:rPr lang="en-US" sz="600" b="0" i="0" u="none" strike="noStrike" baseline="0">
                    <a:effectLst/>
                  </a:rPr>
                  <a:t>0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125"/>
              <c:y val="0.0682443861184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8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211665</xdr:colOff>
      <xdr:row>4</xdr:row>
      <xdr:rowOff>184323</xdr:rowOff>
    </xdr:from>
    <xdr:to>
      <xdr:col>28</xdr:col>
      <xdr:colOff>521606</xdr:colOff>
      <xdr:row>25</xdr:row>
      <xdr:rowOff>158244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61"/>
  <sheetViews>
    <sheetView tabSelected="1" topLeftCell="A27" zoomScale="90" workbookViewId="0">
      <selection activeCell="J40" sqref="J40"/>
    </sheetView>
  </sheetViews>
  <sheetFormatPr baseColWidth="10" defaultColWidth="8.83203125" defaultRowHeight="15" x14ac:dyDescent="0.2"/>
  <cols>
    <col min="5" max="6" width="9.1640625" bestFit="1" customWidth="1"/>
    <col min="7" max="7" width="12.6640625" customWidth="1"/>
  </cols>
  <sheetData>
    <row r="1" spans="2:47" x14ac:dyDescent="0.2">
      <c r="B1" t="s">
        <v>22</v>
      </c>
    </row>
    <row r="2" spans="2:47" x14ac:dyDescent="0.2">
      <c r="B2" s="1" t="s">
        <v>34</v>
      </c>
      <c r="C2" t="s">
        <v>32</v>
      </c>
      <c r="D2" t="s">
        <v>33</v>
      </c>
      <c r="E2" t="s">
        <v>12</v>
      </c>
      <c r="F2" s="1" t="s">
        <v>7</v>
      </c>
      <c r="G2" s="1" t="s">
        <v>8</v>
      </c>
      <c r="H2" s="1" t="s">
        <v>9</v>
      </c>
      <c r="L2" t="s">
        <v>6</v>
      </c>
    </row>
    <row r="3" spans="2:47" x14ac:dyDescent="0.2">
      <c r="B3">
        <f>1/(2*PI()*SQRT(C3*D3*10^(-9)))</f>
        <v>1591.5494309189535</v>
      </c>
      <c r="C3">
        <v>100</v>
      </c>
      <c r="D3">
        <v>0.1</v>
      </c>
      <c r="E3">
        <v>3.2</v>
      </c>
      <c r="F3">
        <v>0.01</v>
      </c>
      <c r="H3">
        <v>0.1</v>
      </c>
      <c r="L3">
        <v>0.66500000000000004</v>
      </c>
      <c r="AB3" t="s">
        <v>35</v>
      </c>
      <c r="AC3">
        <f>7.2*0.2*2</f>
        <v>2.8800000000000003</v>
      </c>
      <c r="AF3" t="s">
        <v>26</v>
      </c>
      <c r="AL3" t="s">
        <v>27</v>
      </c>
      <c r="AM3" t="s">
        <v>31</v>
      </c>
      <c r="AN3" s="1" t="s">
        <v>29</v>
      </c>
      <c r="AO3" t="s">
        <v>21</v>
      </c>
      <c r="AP3" s="1" t="s">
        <v>30</v>
      </c>
      <c r="AQ3" t="s">
        <v>21</v>
      </c>
      <c r="AR3" s="1" t="s">
        <v>30</v>
      </c>
      <c r="AS3" t="s">
        <v>21</v>
      </c>
      <c r="AT3" s="1" t="s">
        <v>28</v>
      </c>
      <c r="AU3" t="s">
        <v>21</v>
      </c>
    </row>
    <row r="4" spans="2:47" x14ac:dyDescent="0.2">
      <c r="AL4">
        <v>0</v>
      </c>
      <c r="AM4">
        <v>1</v>
      </c>
      <c r="AN4">
        <f>J32</f>
        <v>1591.5494309189535</v>
      </c>
      <c r="AO4">
        <f>K32</f>
        <v>0.10000000000000002</v>
      </c>
      <c r="AP4">
        <f t="shared" ref="AP4:AS5" si="0">AB31</f>
        <v>31.980512613004088</v>
      </c>
      <c r="AQ4">
        <f t="shared" si="0"/>
        <v>5.9564267064211158</v>
      </c>
      <c r="AR4">
        <f t="shared" si="0"/>
        <v>-37.039295257526803</v>
      </c>
      <c r="AS4">
        <f t="shared" si="0"/>
        <v>3.7829242226128512</v>
      </c>
      <c r="AT4">
        <f>1/AM4*SQRT(C3/D3)</f>
        <v>31.622776601683793</v>
      </c>
      <c r="AU4">
        <f>SQRT((0.1/AM4)^2+(0.1/C3/2)^2+(0.1/D3/2)^2)*AT4</f>
        <v>16.124523248766149</v>
      </c>
    </row>
    <row r="5" spans="2:47" x14ac:dyDescent="0.2">
      <c r="B5" s="2" t="s">
        <v>3</v>
      </c>
      <c r="C5" s="2" t="s">
        <v>2</v>
      </c>
      <c r="D5" s="3" t="s">
        <v>1</v>
      </c>
      <c r="E5" s="2" t="s">
        <v>11</v>
      </c>
      <c r="F5" s="3" t="s">
        <v>13</v>
      </c>
      <c r="G5" s="3" t="s">
        <v>44</v>
      </c>
      <c r="H5" s="3" t="s">
        <v>14</v>
      </c>
      <c r="L5" t="s">
        <v>3</v>
      </c>
      <c r="M5" t="s">
        <v>2</v>
      </c>
      <c r="N5" s="1" t="s">
        <v>1</v>
      </c>
      <c r="O5" t="s">
        <v>5</v>
      </c>
      <c r="P5" s="1" t="s">
        <v>4</v>
      </c>
      <c r="Q5" s="1" t="s">
        <v>10</v>
      </c>
      <c r="R5" s="1" t="s">
        <v>14</v>
      </c>
      <c r="AA5" t="s">
        <v>0</v>
      </c>
      <c r="AB5" t="s">
        <v>23</v>
      </c>
      <c r="AC5" t="s">
        <v>24</v>
      </c>
      <c r="AD5" t="s">
        <v>25</v>
      </c>
      <c r="AE5" t="s">
        <v>20</v>
      </c>
      <c r="AF5" s="1" t="s">
        <v>21</v>
      </c>
      <c r="AG5" t="s">
        <v>20</v>
      </c>
      <c r="AH5" s="1" t="s">
        <v>21</v>
      </c>
      <c r="AL5">
        <v>100</v>
      </c>
      <c r="AM5">
        <v>1</v>
      </c>
      <c r="AN5">
        <f>J33</f>
        <v>1591.5494309189535</v>
      </c>
      <c r="AO5">
        <f>K33</f>
        <v>0.10000000000000002</v>
      </c>
      <c r="AP5">
        <f t="shared" si="0"/>
        <v>7.1547278948345516</v>
      </c>
      <c r="AQ5">
        <f t="shared" si="0"/>
        <v>6.8918397944861738</v>
      </c>
      <c r="AR5">
        <f t="shared" si="0"/>
        <v>8.2402907346624463</v>
      </c>
      <c r="AS5">
        <f t="shared" si="0"/>
        <v>13.062974293496433</v>
      </c>
      <c r="AT5">
        <f>1/AM5*SQRT(C3/D3)</f>
        <v>31.622776601683793</v>
      </c>
      <c r="AU5">
        <f>SQRT((0.1/AM5)^2+(0.1/C3/2)^2+(0.1/D3/2)^2)*AT5</f>
        <v>16.124523248766149</v>
      </c>
    </row>
    <row r="6" spans="2:47" x14ac:dyDescent="0.2">
      <c r="B6" s="2">
        <v>0</v>
      </c>
      <c r="C6" s="2">
        <v>3.2</v>
      </c>
      <c r="D6" s="2">
        <v>1604</v>
      </c>
      <c r="E6" s="5">
        <v>1.0295250320924263</v>
      </c>
      <c r="F6" s="5">
        <f>C6/$E$3</f>
        <v>1</v>
      </c>
      <c r="G6" s="5">
        <f>SQRT(($G$3/D6)^2+($H$3/$B$3)^2)*E6*10^5</f>
        <v>6.4686965550167255</v>
      </c>
      <c r="H6" s="4">
        <f>SQRT(($F$3/$E$3)^2+($F$3/C6)^2)*F6</f>
        <v>4.419417382415922E-3</v>
      </c>
      <c r="L6">
        <v>100</v>
      </c>
      <c r="M6">
        <v>0.66500000000000004</v>
      </c>
      <c r="N6">
        <v>1577</v>
      </c>
      <c r="O6">
        <f>N6/$B$3</f>
        <v>0.99085832294222076</v>
      </c>
      <c r="P6">
        <f>M6/$L$3</f>
        <v>1</v>
      </c>
      <c r="Q6">
        <f>SQRT(($G$3/N6)^2+($H$3/$B$3)^2)*O6</f>
        <v>6.2257464562071683E-5</v>
      </c>
      <c r="R6">
        <f>SQRT(($F$3/$E$3)^2+($F$3/M6)^2)*P6</f>
        <v>1.5358869029214928E-2</v>
      </c>
      <c r="V6">
        <v>0.95315921109914314</v>
      </c>
      <c r="W6">
        <v>0.3125</v>
      </c>
      <c r="AA6">
        <v>0</v>
      </c>
      <c r="AB6">
        <v>1</v>
      </c>
      <c r="AC6">
        <f>0.2*3.4</f>
        <v>0.68</v>
      </c>
      <c r="AD6">
        <f>0.2*3</f>
        <v>0.60000000000000009</v>
      </c>
      <c r="AE6">
        <f>3.14/(1/AB6*LN(($AL$10-AD6)/($AL$10-AC6)))</f>
        <v>31.373815866007906</v>
      </c>
      <c r="AF6">
        <f>AE6*SQRT($F$3^2/LN(($E$3-AD6)/($E$3-AC6))^2*(((AD6-AC6)/($E$3-AC6)/($E$3-AD6))^2+1/($E$3-AD6)^2+1/($E$3-AC6)^2))</f>
        <v>5.5490933969989662</v>
      </c>
      <c r="AG6">
        <f>3.14/(1/AB6*LN(AD6/AC6))</f>
        <v>-25.087257525594943</v>
      </c>
      <c r="AH6">
        <f>AG6*SQRT(($F$3/AD6/LN(AD6/AC6))^2+($F$3/AC6/LN(AD6/AC6))^2)</f>
        <v>-4.4551067584999551</v>
      </c>
    </row>
    <row r="7" spans="2:47" x14ac:dyDescent="0.2">
      <c r="B7" s="2"/>
      <c r="C7" s="2">
        <v>2.95</v>
      </c>
      <c r="D7" s="2">
        <v>1600</v>
      </c>
      <c r="E7" s="5">
        <v>1.0269576379974326</v>
      </c>
      <c r="F7" s="5">
        <f t="shared" ref="F7:F27" si="1">C7/$E$3</f>
        <v>0.921875</v>
      </c>
      <c r="G7" s="6">
        <f>SQRT(($G$3/D7)^2+($H$3/$B$3)^2)*E7</f>
        <v>6.4525651421613208E-5</v>
      </c>
      <c r="H7" s="4">
        <f t="shared" ref="H7:H16" si="2">SQRT(($F$3/$E$3)^2+($F$3/C7)^2)*F7</f>
        <v>4.250291253376102E-3</v>
      </c>
      <c r="M7">
        <v>0.64</v>
      </c>
      <c r="N7">
        <v>1552</v>
      </c>
      <c r="O7">
        <f t="shared" ref="O7:O39" si="3">N7/$B$3</f>
        <v>0.97515035967427177</v>
      </c>
      <c r="P7">
        <f>M7/$L$3</f>
        <v>0.96240601503759393</v>
      </c>
      <c r="Q7">
        <f t="shared" ref="Q7:Q39" si="4">SQRT(($G$3/N7)^2+($H$3/$B$3)^2)*O7</f>
        <v>6.1270504121962736E-5</v>
      </c>
      <c r="R7">
        <f t="shared" ref="R7:R39" si="5">SQRT(($F$3/$E$3)^2+($F$3/M7)^2)*P7</f>
        <v>1.5335397033361758E-2</v>
      </c>
      <c r="V7">
        <v>0.95944239640632278</v>
      </c>
      <c r="W7">
        <v>0.37499999999999994</v>
      </c>
      <c r="AB7">
        <v>2</v>
      </c>
      <c r="AC7">
        <f>0.2*3.7</f>
        <v>0.7400000000000001</v>
      </c>
      <c r="AD7">
        <f t="shared" ref="AD7:AD9" si="6">0.2*3</f>
        <v>0.60000000000000009</v>
      </c>
      <c r="AE7">
        <f t="shared" ref="AE7:AE18" si="7">3.14/(1/AB7*LN(($AL$10-AD7)/($AL$10-AC7)))</f>
        <v>34.444637871851654</v>
      </c>
      <c r="AF7">
        <f t="shared" ref="AF7:AF12" si="8">AE7*SQRT($F$3^2/LN(($E$3-AD7)/($E$3-AC7))^2*(((AD7-AC7)/($E$3-AC7)/($E$3-AD7))^2+1/($E$3-AD7)^2+1/($E$3-AC7)^2))</f>
        <v>3.4852058479030932</v>
      </c>
      <c r="AG7">
        <f t="shared" ref="AG7:AG12" si="9">3.14/(1/AB7*LN(AD7/AC7))</f>
        <v>-29.944612340014228</v>
      </c>
      <c r="AH7">
        <f t="shared" ref="AH7:AH12" si="10">AG7*SQRT(($F$3/AD7/LN(AD7/AC7))^2+($F$3/AC7/LN(AD7/AC7))^2)</f>
        <v>-3.0636702546334038</v>
      </c>
    </row>
    <row r="8" spans="2:47" x14ac:dyDescent="0.2">
      <c r="B8" s="2"/>
      <c r="C8" s="2">
        <v>2.6</v>
      </c>
      <c r="D8" s="2">
        <v>1595</v>
      </c>
      <c r="E8" s="5">
        <v>1.0237483953786906</v>
      </c>
      <c r="F8" s="5">
        <f t="shared" si="1"/>
        <v>0.8125</v>
      </c>
      <c r="G8" s="6">
        <f t="shared" ref="G8:G16" si="11">SQRT(($G$3/D8)^2+($H$3/$B$3)^2)*E8</f>
        <v>6.4324008760920676E-5</v>
      </c>
      <c r="H8" s="4">
        <f t="shared" si="2"/>
        <v>4.0264703375172458E-3</v>
      </c>
      <c r="M8">
        <v>0.6</v>
      </c>
      <c r="N8">
        <v>1533</v>
      </c>
      <c r="O8">
        <f t="shared" si="3"/>
        <v>0.96321230759063059</v>
      </c>
      <c r="P8">
        <f t="shared" ref="P8:P39" si="12">M8/$L$3</f>
        <v>0.90225563909774431</v>
      </c>
      <c r="Q8">
        <f t="shared" si="4"/>
        <v>6.0520414187479951E-5</v>
      </c>
      <c r="R8">
        <f t="shared" si="5"/>
        <v>1.5299643417386941E-2</v>
      </c>
      <c r="V8">
        <v>0.96446894465206645</v>
      </c>
      <c r="W8">
        <v>0.43749999999999994</v>
      </c>
      <c r="AB8">
        <v>3</v>
      </c>
      <c r="AC8">
        <f>0.2*4</f>
        <v>0.8</v>
      </c>
      <c r="AD8">
        <f t="shared" si="6"/>
        <v>0.60000000000000009</v>
      </c>
      <c r="AE8">
        <f t="shared" si="7"/>
        <v>34.640794662943037</v>
      </c>
      <c r="AF8">
        <f t="shared" si="8"/>
        <v>2.4579684539553504</v>
      </c>
      <c r="AG8">
        <f t="shared" si="9"/>
        <v>-32.744480459688411</v>
      </c>
      <c r="AH8">
        <f t="shared" si="10"/>
        <v>-2.3712867139395701</v>
      </c>
    </row>
    <row r="9" spans="2:47" x14ac:dyDescent="0.2">
      <c r="B9" s="2"/>
      <c r="C9" s="2">
        <v>2.4</v>
      </c>
      <c r="D9" s="2">
        <v>1590</v>
      </c>
      <c r="E9" s="5">
        <v>1.0205391527599486</v>
      </c>
      <c r="F9" s="5">
        <f t="shared" si="1"/>
        <v>0.74999999999999989</v>
      </c>
      <c r="G9" s="6">
        <f t="shared" si="11"/>
        <v>6.4122366100228129E-5</v>
      </c>
      <c r="H9" s="4">
        <f t="shared" si="2"/>
        <v>3.9062499999999991E-3</v>
      </c>
      <c r="M9">
        <v>0.56000000000000005</v>
      </c>
      <c r="N9">
        <v>1518</v>
      </c>
      <c r="O9">
        <f t="shared" si="3"/>
        <v>0.95378752962986113</v>
      </c>
      <c r="P9">
        <f t="shared" si="12"/>
        <v>0.8421052631578948</v>
      </c>
      <c r="Q9">
        <f t="shared" si="4"/>
        <v>5.9928237923414585E-5</v>
      </c>
      <c r="R9">
        <f t="shared" si="5"/>
        <v>1.5266120679884927E-2</v>
      </c>
      <c r="V9">
        <v>0.96823885583637426</v>
      </c>
      <c r="W9">
        <v>0.5</v>
      </c>
      <c r="AB9">
        <v>5</v>
      </c>
      <c r="AC9">
        <f>0.2*4.6</f>
        <v>0.91999999999999993</v>
      </c>
      <c r="AD9">
        <f t="shared" si="6"/>
        <v>0.60000000000000009</v>
      </c>
      <c r="AE9">
        <f t="shared" si="7"/>
        <v>32.737450549614927</v>
      </c>
      <c r="AF9">
        <f t="shared" si="8"/>
        <v>1.4602961033649096</v>
      </c>
      <c r="AG9">
        <f t="shared" si="9"/>
        <v>-36.729956334413771</v>
      </c>
      <c r="AH9">
        <f t="shared" si="10"/>
        <v>-1.7098096277361869</v>
      </c>
    </row>
    <row r="10" spans="2:47" x14ac:dyDescent="0.2">
      <c r="B10" s="2"/>
      <c r="C10" s="2">
        <v>2.2000000000000002</v>
      </c>
      <c r="D10" s="2">
        <v>1585</v>
      </c>
      <c r="E10" s="5">
        <v>1.0173299101412068</v>
      </c>
      <c r="F10" s="5">
        <f t="shared" si="1"/>
        <v>0.6875</v>
      </c>
      <c r="G10" s="6">
        <f t="shared" si="11"/>
        <v>6.3920723439535597E-5</v>
      </c>
      <c r="H10" s="4">
        <f t="shared" si="2"/>
        <v>3.7922827810444523E-3</v>
      </c>
      <c r="M10">
        <v>0.52</v>
      </c>
      <c r="N10">
        <v>1506</v>
      </c>
      <c r="O10">
        <f t="shared" si="3"/>
        <v>0.94624770726124563</v>
      </c>
      <c r="P10">
        <f t="shared" si="12"/>
        <v>0.78195488721804507</v>
      </c>
      <c r="Q10">
        <f t="shared" si="4"/>
        <v>5.9454496912162294E-5</v>
      </c>
      <c r="R10">
        <f t="shared" si="5"/>
        <v>1.5234843547332429E-2</v>
      </c>
      <c r="V10">
        <v>0.97138044848996397</v>
      </c>
      <c r="W10">
        <v>0.5625</v>
      </c>
      <c r="AB10">
        <v>1</v>
      </c>
      <c r="AC10">
        <f>0.2*4.3</f>
        <v>0.86</v>
      </c>
      <c r="AD10">
        <v>0.8</v>
      </c>
      <c r="AE10">
        <f t="shared" si="7"/>
        <v>31.897579006842058</v>
      </c>
      <c r="AF10">
        <f t="shared" si="8"/>
        <v>7.5209416740008761</v>
      </c>
      <c r="AG10">
        <f t="shared" si="9"/>
        <v>-43.417744409636221</v>
      </c>
      <c r="AH10">
        <f t="shared" si="10"/>
        <v>-10.249272075154797</v>
      </c>
      <c r="AJ10" t="s">
        <v>38</v>
      </c>
      <c r="AL10">
        <f>7.2*0.2</f>
        <v>1.4400000000000002</v>
      </c>
    </row>
    <row r="11" spans="2:47" x14ac:dyDescent="0.2">
      <c r="B11" s="2"/>
      <c r="C11" s="2">
        <v>2</v>
      </c>
      <c r="D11" s="2">
        <v>1580</v>
      </c>
      <c r="E11" s="5">
        <v>1.0141206675224648</v>
      </c>
      <c r="F11" s="5">
        <f t="shared" si="1"/>
        <v>0.625</v>
      </c>
      <c r="G11" s="6">
        <f t="shared" si="11"/>
        <v>6.3719080778843051E-5</v>
      </c>
      <c r="H11" s="4">
        <f t="shared" si="2"/>
        <v>3.6851488797096108E-3</v>
      </c>
      <c r="M11">
        <v>0.48</v>
      </c>
      <c r="N11">
        <v>1492</v>
      </c>
      <c r="O11">
        <f t="shared" si="3"/>
        <v>0.93745124783119427</v>
      </c>
      <c r="P11">
        <f t="shared" si="12"/>
        <v>0.72180451127819545</v>
      </c>
      <c r="Q11">
        <f t="shared" si="4"/>
        <v>5.8901799065701293E-5</v>
      </c>
      <c r="R11">
        <f t="shared" si="5"/>
        <v>1.5205825876809537E-2</v>
      </c>
      <c r="V11">
        <v>0.9738937226128358</v>
      </c>
      <c r="W11">
        <v>0.625</v>
      </c>
      <c r="AB11">
        <v>2</v>
      </c>
      <c r="AC11">
        <f t="shared" ref="AC11" si="13">0.2*4.6</f>
        <v>0.91999999999999993</v>
      </c>
      <c r="AD11">
        <v>0.8</v>
      </c>
      <c r="AE11">
        <f t="shared" si="7"/>
        <v>30.244746735316536</v>
      </c>
      <c r="AF11">
        <f t="shared" si="8"/>
        <v>3.5694557462207532</v>
      </c>
      <c r="AG11">
        <f t="shared" si="9"/>
        <v>-44.933548384314761</v>
      </c>
      <c r="AH11">
        <f t="shared" si="10"/>
        <v>-5.3256402010762924</v>
      </c>
    </row>
    <row r="12" spans="2:47" x14ac:dyDescent="0.2">
      <c r="B12" s="2"/>
      <c r="C12" s="2">
        <v>1.8</v>
      </c>
      <c r="D12" s="2">
        <v>1574</v>
      </c>
      <c r="E12" s="5">
        <v>1.0102695763799743</v>
      </c>
      <c r="F12" s="5">
        <f t="shared" si="1"/>
        <v>0.5625</v>
      </c>
      <c r="G12" s="6">
        <f t="shared" si="11"/>
        <v>6.3477109586011993E-5</v>
      </c>
      <c r="H12" s="4">
        <f t="shared" si="2"/>
        <v>3.585460888805824E-3</v>
      </c>
      <c r="M12">
        <v>0.44</v>
      </c>
      <c r="N12">
        <v>1477</v>
      </c>
      <c r="O12">
        <f t="shared" si="3"/>
        <v>0.92802646987042481</v>
      </c>
      <c r="P12">
        <f t="shared" si="12"/>
        <v>0.66165413533834583</v>
      </c>
      <c r="Q12">
        <f t="shared" si="4"/>
        <v>5.8309622801635927E-5</v>
      </c>
      <c r="R12">
        <f t="shared" si="5"/>
        <v>1.5179080626483021E-2</v>
      </c>
      <c r="V12">
        <v>0.97577867820498976</v>
      </c>
      <c r="W12">
        <v>0.6875</v>
      </c>
      <c r="AA12" t="s">
        <v>36</v>
      </c>
      <c r="AB12">
        <v>3</v>
      </c>
      <c r="AC12">
        <f>0.2*4.9</f>
        <v>0.98000000000000009</v>
      </c>
      <c r="AD12">
        <v>0.8</v>
      </c>
      <c r="AE12">
        <f t="shared" si="7"/>
        <v>28.524563598452488</v>
      </c>
      <c r="AF12">
        <f t="shared" si="8"/>
        <v>2.248474529337761</v>
      </c>
      <c r="AG12">
        <f t="shared" si="9"/>
        <v>-46.417467349025266</v>
      </c>
      <c r="AH12">
        <f t="shared" si="10"/>
        <v>-3.6907122563072501</v>
      </c>
    </row>
    <row r="13" spans="2:47" x14ac:dyDescent="0.2">
      <c r="B13" s="2"/>
      <c r="C13" s="2">
        <v>1.6</v>
      </c>
      <c r="D13" s="2">
        <v>1570</v>
      </c>
      <c r="E13" s="5">
        <v>1.0077021822849808</v>
      </c>
      <c r="F13" s="5">
        <f t="shared" si="1"/>
        <v>0.5</v>
      </c>
      <c r="G13" s="6">
        <f t="shared" si="11"/>
        <v>6.3315795457457972E-5</v>
      </c>
      <c r="H13" s="4">
        <f t="shared" si="2"/>
        <v>3.4938562148434209E-3</v>
      </c>
      <c r="M13">
        <v>0.4</v>
      </c>
      <c r="N13">
        <v>1463</v>
      </c>
      <c r="O13">
        <f t="shared" si="3"/>
        <v>0.91923001044037345</v>
      </c>
      <c r="P13">
        <f t="shared" si="12"/>
        <v>0.60150375939849621</v>
      </c>
      <c r="Q13">
        <f t="shared" si="4"/>
        <v>5.7756924955174926E-5</v>
      </c>
      <c r="R13">
        <f t="shared" si="5"/>
        <v>1.515461982762885E-2</v>
      </c>
      <c r="V13">
        <v>0.97766363379714361</v>
      </c>
      <c r="W13">
        <v>0.74999999999999989</v>
      </c>
      <c r="AA13" t="s">
        <v>37</v>
      </c>
      <c r="AB13">
        <v>1</v>
      </c>
      <c r="AC13">
        <f>0.2*3.65</f>
        <v>0.73</v>
      </c>
      <c r="AD13">
        <v>0.8</v>
      </c>
      <c r="AE13">
        <f t="shared" si="7"/>
        <v>-30.251416143264791</v>
      </c>
      <c r="AF13">
        <f t="shared" ref="AF13:AF18" si="14">AE13*SQRT($F$3^2/LN(($E$3-AD13)/($E$3-AC13))^2*(((AD13-AC13)/($E$3-AC13)/($E$3-AD13))^2+1/($E$3-AD13)^2+1/($E$3-AC13)^2))</f>
        <v>-6.1144449709933859</v>
      </c>
      <c r="AG13">
        <f t="shared" ref="AG13:AG18" si="15">3.14/(1/AB13*LN(AD13/AC13))</f>
        <v>34.29175755098229</v>
      </c>
      <c r="AH13">
        <f t="shared" ref="AH13:AH18" si="16">AG13*SQRT(($F$3/AD13/LN(AD13/AC13))^2+($F$3/AC13/LN(AD13/AC13))^2)</f>
        <v>6.9449238320195485</v>
      </c>
    </row>
    <row r="14" spans="2:47" x14ac:dyDescent="0.2">
      <c r="B14" s="2"/>
      <c r="C14" s="2">
        <v>1.4</v>
      </c>
      <c r="D14" s="2">
        <v>1565</v>
      </c>
      <c r="E14" s="5">
        <v>1.0044929396662388</v>
      </c>
      <c r="F14" s="5">
        <f t="shared" si="1"/>
        <v>0.43749999999999994</v>
      </c>
      <c r="G14" s="6">
        <f t="shared" si="11"/>
        <v>6.3114152796765426E-5</v>
      </c>
      <c r="H14" s="4">
        <f t="shared" si="2"/>
        <v>3.4109861712056599E-3</v>
      </c>
      <c r="M14">
        <v>0.36</v>
      </c>
      <c r="N14">
        <v>1445</v>
      </c>
      <c r="O14">
        <f t="shared" si="3"/>
        <v>0.90792027688745014</v>
      </c>
      <c r="P14">
        <f t="shared" si="12"/>
        <v>0.54135338345864659</v>
      </c>
      <c r="Q14">
        <f t="shared" si="4"/>
        <v>5.7046313438296492E-5</v>
      </c>
      <c r="R14">
        <f t="shared" si="5"/>
        <v>1.5132454558329874E-2</v>
      </c>
      <c r="V14">
        <v>0.98017690792001544</v>
      </c>
      <c r="W14">
        <v>0.8125</v>
      </c>
      <c r="AB14">
        <v>2</v>
      </c>
      <c r="AC14">
        <f>0.2*3.4</f>
        <v>0.68</v>
      </c>
      <c r="AD14">
        <v>0.8</v>
      </c>
      <c r="AE14">
        <f t="shared" si="7"/>
        <v>-36.543442601195103</v>
      </c>
      <c r="AF14">
        <f t="shared" si="14"/>
        <v>-4.3122376576683124</v>
      </c>
      <c r="AG14">
        <f t="shared" si="15"/>
        <v>38.641652510306379</v>
      </c>
      <c r="AH14">
        <f t="shared" si="16"/>
        <v>4.589046309683698</v>
      </c>
    </row>
    <row r="15" spans="2:47" x14ac:dyDescent="0.2">
      <c r="B15" s="2"/>
      <c r="C15" s="2">
        <v>1.2</v>
      </c>
      <c r="D15" s="2">
        <v>1561</v>
      </c>
      <c r="E15" s="5">
        <v>1.0019255455712452</v>
      </c>
      <c r="F15" s="5">
        <f t="shared" si="1"/>
        <v>0.37499999999999994</v>
      </c>
      <c r="G15" s="6">
        <f t="shared" si="11"/>
        <v>6.2952838668211392E-5</v>
      </c>
      <c r="H15" s="4">
        <f t="shared" si="2"/>
        <v>3.3375014630146601E-3</v>
      </c>
      <c r="M15">
        <v>0.32</v>
      </c>
      <c r="N15">
        <v>1442</v>
      </c>
      <c r="O15">
        <f t="shared" si="3"/>
        <v>0.90603532129529629</v>
      </c>
      <c r="P15">
        <f t="shared" si="12"/>
        <v>0.48120300751879697</v>
      </c>
      <c r="Q15">
        <f t="shared" si="4"/>
        <v>5.6927878185483418E-5</v>
      </c>
      <c r="R15">
        <f t="shared" si="5"/>
        <v>1.511259491897878E-2</v>
      </c>
      <c r="V15">
        <v>0.9814335449814513</v>
      </c>
      <c r="W15">
        <v>0.87499999999999989</v>
      </c>
      <c r="AB15">
        <v>3</v>
      </c>
      <c r="AC15">
        <f>0.2*3.1</f>
        <v>0.62000000000000011</v>
      </c>
      <c r="AD15">
        <v>0.8</v>
      </c>
      <c r="AE15">
        <f t="shared" si="7"/>
        <v>-38.008980818581335</v>
      </c>
      <c r="AF15">
        <f t="shared" si="14"/>
        <v>-2.9947228155277932</v>
      </c>
      <c r="AG15">
        <f t="shared" si="15"/>
        <v>36.956792580860096</v>
      </c>
      <c r="AH15">
        <f t="shared" si="16"/>
        <v>2.9586306401608402</v>
      </c>
    </row>
    <row r="16" spans="2:47" x14ac:dyDescent="0.2">
      <c r="B16" s="2"/>
      <c r="C16" s="2">
        <v>1</v>
      </c>
      <c r="D16" s="2">
        <v>1556</v>
      </c>
      <c r="E16" s="5">
        <v>0.99871630295250324</v>
      </c>
      <c r="F16" s="5">
        <f t="shared" si="1"/>
        <v>0.3125</v>
      </c>
      <c r="G16" s="6">
        <f t="shared" si="11"/>
        <v>6.275119600751886E-5</v>
      </c>
      <c r="H16" s="4">
        <f t="shared" si="2"/>
        <v>3.2740341043437913E-3</v>
      </c>
      <c r="M16">
        <v>0.28000000000000003</v>
      </c>
      <c r="N16">
        <v>1401</v>
      </c>
      <c r="O16">
        <f t="shared" si="3"/>
        <v>0.88027426153585997</v>
      </c>
      <c r="P16">
        <f t="shared" si="12"/>
        <v>0.4210526315789474</v>
      </c>
      <c r="Q16">
        <f t="shared" si="4"/>
        <v>5.5309263063704767E-5</v>
      </c>
      <c r="R16">
        <f t="shared" si="5"/>
        <v>1.5095050009709662E-2</v>
      </c>
      <c r="V16">
        <v>0.98394681910432313</v>
      </c>
      <c r="W16">
        <v>0.9375</v>
      </c>
      <c r="AB16">
        <v>1</v>
      </c>
      <c r="AC16">
        <f>0.2*4.55</f>
        <v>0.91</v>
      </c>
      <c r="AD16">
        <v>1</v>
      </c>
      <c r="AE16">
        <f t="shared" si="7"/>
        <v>-16.872442434223093</v>
      </c>
      <c r="AF16">
        <f t="shared" si="14"/>
        <v>-2.6535567360452754</v>
      </c>
      <c r="AG16">
        <f t="shared" si="15"/>
        <v>33.294214585289907</v>
      </c>
      <c r="AH16">
        <f t="shared" si="16"/>
        <v>5.2452535033238172</v>
      </c>
    </row>
    <row r="17" spans="2:38" x14ac:dyDescent="0.2">
      <c r="B17" s="2"/>
      <c r="C17" s="2">
        <v>3</v>
      </c>
      <c r="D17" s="2">
        <v>1549</v>
      </c>
      <c r="E17" s="5">
        <v>0.99422336328626448</v>
      </c>
      <c r="F17" s="5">
        <f t="shared" si="1"/>
        <v>0.9375</v>
      </c>
      <c r="G17" s="6">
        <f t="shared" ref="G17:G27" si="17">SQRT(($G$3/D17)^2+($H$3/$B$3)^2)*E17</f>
        <v>6.2468896282549303E-5</v>
      </c>
      <c r="H17" s="4">
        <f t="shared" ref="H17:H27" si="18">SQRT(($F$3/$E$3)^2+($F$3/C17)^2)*F17</f>
        <v>4.2835375389572872E-3</v>
      </c>
      <c r="M17">
        <v>0.24</v>
      </c>
      <c r="N17">
        <v>1372</v>
      </c>
      <c r="O17">
        <f t="shared" si="3"/>
        <v>0.86205302414503915</v>
      </c>
      <c r="P17">
        <f t="shared" si="12"/>
        <v>0.36090225563909772</v>
      </c>
      <c r="Q17">
        <f t="shared" si="4"/>
        <v>5.41643889531784E-5</v>
      </c>
      <c r="R17">
        <f t="shared" si="5"/>
        <v>1.5079827909873368E-2</v>
      </c>
      <c r="V17">
        <v>0.98960168588078479</v>
      </c>
      <c r="W17">
        <v>1</v>
      </c>
      <c r="AB17">
        <v>2</v>
      </c>
      <c r="AC17">
        <f>0.2*4.2</f>
        <v>0.84000000000000008</v>
      </c>
      <c r="AD17">
        <v>1</v>
      </c>
      <c r="AE17">
        <f t="shared" si="7"/>
        <v>-20.247945226418839</v>
      </c>
      <c r="AF17">
        <f t="shared" si="14"/>
        <v>-1.7944576132336449</v>
      </c>
      <c r="AG17">
        <f t="shared" si="15"/>
        <v>36.01880125669873</v>
      </c>
      <c r="AH17">
        <f t="shared" si="16"/>
        <v>3.2118715887419427</v>
      </c>
    </row>
    <row r="18" spans="2:38" x14ac:dyDescent="0.2">
      <c r="B18" s="2"/>
      <c r="C18" s="2">
        <v>2.8</v>
      </c>
      <c r="D18" s="2">
        <v>1545</v>
      </c>
      <c r="E18" s="5">
        <v>0.99165596919127086</v>
      </c>
      <c r="F18" s="5">
        <f t="shared" si="1"/>
        <v>0.87499999999999989</v>
      </c>
      <c r="G18" s="6">
        <f t="shared" si="17"/>
        <v>6.2307582153995269E-5</v>
      </c>
      <c r="H18" s="4">
        <f t="shared" si="18"/>
        <v>4.1524007080994711E-3</v>
      </c>
      <c r="M18">
        <v>0.64</v>
      </c>
      <c r="N18">
        <v>1551</v>
      </c>
      <c r="O18">
        <f t="shared" si="3"/>
        <v>0.97452204114355379</v>
      </c>
      <c r="P18">
        <f t="shared" si="12"/>
        <v>0.96240601503759393</v>
      </c>
      <c r="Q18">
        <f t="shared" si="4"/>
        <v>6.1231025704358384E-5</v>
      </c>
      <c r="R18">
        <f t="shared" si="5"/>
        <v>1.5335397033361758E-2</v>
      </c>
      <c r="V18">
        <v>0.99525655265724644</v>
      </c>
      <c r="W18">
        <v>0.921875</v>
      </c>
      <c r="AB18">
        <v>3</v>
      </c>
      <c r="AC18">
        <f>0.2*3.9</f>
        <v>0.78</v>
      </c>
      <c r="AD18">
        <v>1</v>
      </c>
      <c r="AE18">
        <f t="shared" si="7"/>
        <v>-23.232578615585997</v>
      </c>
      <c r="AF18">
        <f t="shared" si="14"/>
        <v>-1.500787651971214</v>
      </c>
      <c r="AG18">
        <f t="shared" si="15"/>
        <v>37.913340032414801</v>
      </c>
      <c r="AH18">
        <f t="shared" si="16"/>
        <v>2.48105058275469</v>
      </c>
    </row>
    <row r="19" spans="2:38" x14ac:dyDescent="0.2">
      <c r="B19" s="2"/>
      <c r="C19" s="2">
        <v>2.6</v>
      </c>
      <c r="D19" s="2">
        <v>1540</v>
      </c>
      <c r="E19" s="5">
        <v>0.98844672657252886</v>
      </c>
      <c r="F19" s="5">
        <f t="shared" si="1"/>
        <v>0.8125</v>
      </c>
      <c r="G19" s="6">
        <f t="shared" si="17"/>
        <v>6.2105939493302723E-5</v>
      </c>
      <c r="H19" s="4">
        <f t="shared" si="18"/>
        <v>4.0264703375172458E-3</v>
      </c>
      <c r="M19">
        <v>0.6</v>
      </c>
      <c r="N19">
        <v>1533</v>
      </c>
      <c r="O19">
        <f t="shared" si="3"/>
        <v>0.96321230759063059</v>
      </c>
      <c r="P19">
        <f t="shared" si="12"/>
        <v>0.90225563909774431</v>
      </c>
      <c r="Q19">
        <f t="shared" si="4"/>
        <v>6.0520414187479951E-5</v>
      </c>
      <c r="R19">
        <f t="shared" si="5"/>
        <v>1.5299643417386941E-2</v>
      </c>
      <c r="V19">
        <v>0.99776982678011827</v>
      </c>
      <c r="W19">
        <v>0.8125</v>
      </c>
      <c r="AA19">
        <v>100</v>
      </c>
      <c r="AB19">
        <v>1</v>
      </c>
      <c r="AC19">
        <f>50*4.6</f>
        <v>229.99999999999997</v>
      </c>
      <c r="AD19">
        <f>3.4*50</f>
        <v>170</v>
      </c>
      <c r="AE19">
        <f>3.14/(1/AB19*LN(($AL$20-AD19)/($AL$20-AC19)))</f>
        <v>7.2131165860562962</v>
      </c>
      <c r="AF19">
        <f t="shared" ref="AF19:AF26" si="19">AE19*SQRT($F$3^2/LN(($E$3-AD19)/($E$3-AC19))^2*(((AD19-AC19)/($E$3-AC19)/($E$3-AD19))^2+1/($E$3-AD19)^2+1/($E$3-AC19)^2))</f>
        <v>1.786212240905772E-3</v>
      </c>
      <c r="AG19">
        <f>3.14/(1/AB19*LN(AD19/AC19))</f>
        <v>-10.387690033261276</v>
      </c>
      <c r="AH19">
        <f t="shared" ref="AH19:AH26" si="20">AG19*SQRT(($F$3/AD19/LN(AD19/AC19))^2+($F$3/AC19/LN(AD19/AC19))^2)</f>
        <v>-2.5136696999271554E-3</v>
      </c>
    </row>
    <row r="20" spans="2:38" x14ac:dyDescent="0.2">
      <c r="B20" s="2"/>
      <c r="C20" s="2">
        <v>2.4</v>
      </c>
      <c r="D20" s="2">
        <v>1535</v>
      </c>
      <c r="E20" s="5">
        <v>0.98523748395378685</v>
      </c>
      <c r="F20" s="5">
        <f t="shared" si="1"/>
        <v>0.74999999999999989</v>
      </c>
      <c r="G20" s="6">
        <f t="shared" si="17"/>
        <v>6.1904296832610177E-5</v>
      </c>
      <c r="H20" s="4">
        <f t="shared" si="18"/>
        <v>3.9062499999999991E-3</v>
      </c>
      <c r="M20">
        <v>0.56000000000000005</v>
      </c>
      <c r="N20">
        <v>1518</v>
      </c>
      <c r="O20">
        <f t="shared" si="3"/>
        <v>0.95378752962986113</v>
      </c>
      <c r="P20">
        <f t="shared" si="12"/>
        <v>0.8421052631578948</v>
      </c>
      <c r="Q20">
        <f t="shared" si="4"/>
        <v>5.9928237923414585E-5</v>
      </c>
      <c r="R20">
        <f t="shared" si="5"/>
        <v>1.5266120679884927E-2</v>
      </c>
      <c r="V20">
        <v>0.99965478237227212</v>
      </c>
      <c r="W20">
        <v>0.74999999999999989</v>
      </c>
      <c r="AA20" t="s">
        <v>36</v>
      </c>
      <c r="AB20">
        <v>2</v>
      </c>
      <c r="AC20">
        <f>50*5.4</f>
        <v>270</v>
      </c>
      <c r="AD20">
        <f>3.4*50</f>
        <v>170</v>
      </c>
      <c r="AE20">
        <f t="shared" ref="AE20:AE26" si="21">3.14/(1/AB20*LN(($AL$20-AD20)/($AL$20-AC20)))</f>
        <v>7.0776258164985091</v>
      </c>
      <c r="AF20">
        <f t="shared" si="19"/>
        <v>1.1179021838841571E-3</v>
      </c>
      <c r="AG20">
        <f t="shared" ref="AG20:AG26" si="22">3.14/(1/AB20*LN(AD20/AC20))</f>
        <v>-13.574752908271607</v>
      </c>
      <c r="AH20">
        <f t="shared" si="20"/>
        <v>-2.0396959148256061E-3</v>
      </c>
      <c r="AJ20" t="s">
        <v>38</v>
      </c>
      <c r="AL20">
        <f>6.8*50</f>
        <v>340</v>
      </c>
    </row>
    <row r="21" spans="2:38" x14ac:dyDescent="0.2">
      <c r="B21" s="2"/>
      <c r="C21" s="2">
        <v>2.2000000000000002</v>
      </c>
      <c r="D21" s="2">
        <v>1558</v>
      </c>
      <c r="E21" s="5">
        <v>1</v>
      </c>
      <c r="F21" s="5">
        <f t="shared" si="1"/>
        <v>0.6875</v>
      </c>
      <c r="G21" s="6">
        <f t="shared" si="17"/>
        <v>6.283185307179587E-5</v>
      </c>
      <c r="H21" s="4">
        <f t="shared" si="18"/>
        <v>3.7922827810444523E-3</v>
      </c>
      <c r="M21">
        <v>0.52</v>
      </c>
      <c r="N21">
        <v>1505</v>
      </c>
      <c r="O21">
        <f t="shared" si="3"/>
        <v>0.94561938873052764</v>
      </c>
      <c r="P21">
        <f t="shared" si="12"/>
        <v>0.78195488721804507</v>
      </c>
      <c r="Q21">
        <f t="shared" si="4"/>
        <v>5.9415018494557935E-5</v>
      </c>
      <c r="R21">
        <f t="shared" si="5"/>
        <v>1.5234843547332429E-2</v>
      </c>
      <c r="V21">
        <v>1.0021680564951441</v>
      </c>
      <c r="W21">
        <v>0.6875</v>
      </c>
      <c r="AB21">
        <v>3</v>
      </c>
      <c r="AC21">
        <f>50*5.9</f>
        <v>295</v>
      </c>
      <c r="AD21">
        <f t="shared" ref="AD21:AD22" si="23">3.4*50</f>
        <v>170</v>
      </c>
      <c r="AE21">
        <f t="shared" si="21"/>
        <v>7.0873111356877363</v>
      </c>
      <c r="AF21">
        <f t="shared" si="19"/>
        <v>9.3365700810758845E-4</v>
      </c>
      <c r="AG21">
        <f t="shared" si="22"/>
        <v>-17.090701134840611</v>
      </c>
      <c r="AH21">
        <f t="shared" si="20"/>
        <v>-2.1051666029058744E-3</v>
      </c>
    </row>
    <row r="22" spans="2:38" x14ac:dyDescent="0.2">
      <c r="B22" s="2"/>
      <c r="C22" s="2">
        <v>2</v>
      </c>
      <c r="D22" s="2">
        <v>1563</v>
      </c>
      <c r="E22" s="5">
        <v>1.003209242618742</v>
      </c>
      <c r="F22" s="5">
        <f t="shared" si="1"/>
        <v>0.625</v>
      </c>
      <c r="G22" s="6">
        <f t="shared" si="17"/>
        <v>6.3033495732488416E-5</v>
      </c>
      <c r="H22" s="4">
        <f t="shared" si="18"/>
        <v>3.6851488797096108E-3</v>
      </c>
      <c r="M22">
        <v>0.48</v>
      </c>
      <c r="N22">
        <v>1492</v>
      </c>
      <c r="O22">
        <f t="shared" si="3"/>
        <v>0.93745124783119427</v>
      </c>
      <c r="P22">
        <f t="shared" si="12"/>
        <v>0.72180451127819545</v>
      </c>
      <c r="Q22">
        <f t="shared" si="4"/>
        <v>5.8901799065701293E-5</v>
      </c>
      <c r="R22">
        <f t="shared" si="5"/>
        <v>1.5205825876809537E-2</v>
      </c>
      <c r="V22">
        <v>1.0053096491487337</v>
      </c>
      <c r="W22">
        <v>0.625</v>
      </c>
      <c r="AB22">
        <v>4</v>
      </c>
      <c r="AC22">
        <f>50*6.2</f>
        <v>310</v>
      </c>
      <c r="AD22">
        <f t="shared" si="23"/>
        <v>170</v>
      </c>
      <c r="AE22">
        <f t="shared" si="21"/>
        <v>7.2408580410956667</v>
      </c>
      <c r="AF22">
        <f t="shared" si="19"/>
        <v>8.735512181434835E-4</v>
      </c>
      <c r="AG22">
        <f t="shared" si="22"/>
        <v>-20.906368980555559</v>
      </c>
      <c r="AH22">
        <f t="shared" si="20"/>
        <v>-2.3345972737730193E-3</v>
      </c>
    </row>
    <row r="23" spans="2:38" x14ac:dyDescent="0.2">
      <c r="B23" s="2"/>
      <c r="C23" s="2">
        <v>1.8</v>
      </c>
      <c r="D23" s="2">
        <v>1564</v>
      </c>
      <c r="E23" s="5">
        <v>1.0038510911424903</v>
      </c>
      <c r="F23" s="5">
        <f t="shared" si="1"/>
        <v>0.5625</v>
      </c>
      <c r="G23" s="6">
        <f t="shared" si="17"/>
        <v>6.3073824264626914E-5</v>
      </c>
      <c r="H23" s="4">
        <f t="shared" si="18"/>
        <v>3.585460888805824E-3</v>
      </c>
      <c r="M23">
        <v>0.44</v>
      </c>
      <c r="N23">
        <v>1477</v>
      </c>
      <c r="O23">
        <f t="shared" si="3"/>
        <v>0.92802646987042481</v>
      </c>
      <c r="P23">
        <f t="shared" si="12"/>
        <v>0.66165413533834583</v>
      </c>
      <c r="Q23">
        <f t="shared" si="4"/>
        <v>5.8309622801635927E-5</v>
      </c>
      <c r="R23">
        <f t="shared" si="5"/>
        <v>1.5179080626483021E-2</v>
      </c>
      <c r="V23">
        <v>1.0084512418023235</v>
      </c>
      <c r="W23">
        <v>0.5625</v>
      </c>
      <c r="AA23" t="s">
        <v>37</v>
      </c>
      <c r="AB23">
        <v>1</v>
      </c>
      <c r="AC23">
        <f>50*3.7</f>
        <v>185</v>
      </c>
      <c r="AD23">
        <f>5.4*50</f>
        <v>270</v>
      </c>
      <c r="AE23">
        <f t="shared" si="21"/>
        <v>-3.9500339580443473</v>
      </c>
      <c r="AF23">
        <f t="shared" si="19"/>
        <v>-7.0877434972251062E-4</v>
      </c>
      <c r="AG23">
        <f t="shared" si="22"/>
        <v>8.3054252107754767</v>
      </c>
      <c r="AH23">
        <f t="shared" si="20"/>
        <v>1.4394746479337902E-3</v>
      </c>
    </row>
    <row r="24" spans="2:38" x14ac:dyDescent="0.2">
      <c r="B24" s="2"/>
      <c r="C24" s="2">
        <v>1.6</v>
      </c>
      <c r="D24" s="2">
        <v>1562</v>
      </c>
      <c r="E24" s="5">
        <v>1.0025673940949935</v>
      </c>
      <c r="F24" s="5">
        <f t="shared" si="1"/>
        <v>0.5</v>
      </c>
      <c r="G24" s="6">
        <f t="shared" si="17"/>
        <v>6.2993167200349904E-5</v>
      </c>
      <c r="H24" s="4">
        <f t="shared" si="18"/>
        <v>3.4938562148434209E-3</v>
      </c>
      <c r="M24">
        <v>0.4</v>
      </c>
      <c r="N24">
        <v>1462</v>
      </c>
      <c r="O24">
        <f t="shared" si="3"/>
        <v>0.91860169190965546</v>
      </c>
      <c r="P24">
        <f t="shared" si="12"/>
        <v>0.60150375939849621</v>
      </c>
      <c r="Q24">
        <f t="shared" si="4"/>
        <v>5.7717446537570568E-5</v>
      </c>
      <c r="R24">
        <f t="shared" si="5"/>
        <v>1.515461982762885E-2</v>
      </c>
      <c r="V24">
        <v>1.0109645159251954</v>
      </c>
      <c r="W24">
        <v>0.5</v>
      </c>
      <c r="AB24">
        <v>2</v>
      </c>
      <c r="AC24">
        <f>50*2.5</f>
        <v>125</v>
      </c>
      <c r="AD24">
        <f t="shared" ref="AD24:AD26" si="24">5.4*50</f>
        <v>270</v>
      </c>
      <c r="AE24">
        <f t="shared" si="21"/>
        <v>-5.5964357458889182</v>
      </c>
      <c r="AF24">
        <f t="shared" si="19"/>
        <v>-7.1857902305028619E-4</v>
      </c>
      <c r="AG24">
        <f t="shared" si="22"/>
        <v>8.1546980321402511</v>
      </c>
      <c r="AH24">
        <f t="shared" si="20"/>
        <v>9.3350213246184966E-4</v>
      </c>
    </row>
    <row r="25" spans="2:38" x14ac:dyDescent="0.2">
      <c r="B25" s="2"/>
      <c r="C25" s="2">
        <v>1.4</v>
      </c>
      <c r="D25" s="2">
        <v>1555</v>
      </c>
      <c r="E25" s="5">
        <v>0.99807445442875486</v>
      </c>
      <c r="F25" s="5">
        <f t="shared" si="1"/>
        <v>0.43749999999999994</v>
      </c>
      <c r="G25" s="6">
        <f t="shared" si="17"/>
        <v>6.2710867475380348E-5</v>
      </c>
      <c r="H25" s="4">
        <f t="shared" si="18"/>
        <v>3.4109861712056599E-3</v>
      </c>
      <c r="M25">
        <v>0.36</v>
      </c>
      <c r="N25">
        <v>1445</v>
      </c>
      <c r="O25">
        <f t="shared" si="3"/>
        <v>0.90792027688745014</v>
      </c>
      <c r="P25">
        <f t="shared" si="12"/>
        <v>0.54135338345864659</v>
      </c>
      <c r="Q25">
        <f t="shared" si="4"/>
        <v>5.7046313438296492E-5</v>
      </c>
      <c r="R25">
        <f t="shared" si="5"/>
        <v>1.5132454558329874E-2</v>
      </c>
      <c r="V25">
        <v>1.0147344271095031</v>
      </c>
      <c r="W25">
        <v>0.43749999999999994</v>
      </c>
      <c r="AB25">
        <v>3</v>
      </c>
      <c r="AC25">
        <f>50*1.7</f>
        <v>85</v>
      </c>
      <c r="AD25">
        <f t="shared" si="24"/>
        <v>270</v>
      </c>
      <c r="AE25">
        <f t="shared" si="21"/>
        <v>-7.2866885561358501</v>
      </c>
      <c r="AF25">
        <f t="shared" si="19"/>
        <v>-9.4556606532596264E-4</v>
      </c>
      <c r="AG25">
        <f t="shared" si="22"/>
        <v>8.1504055947761156</v>
      </c>
      <c r="AH25">
        <f t="shared" si="20"/>
        <v>8.6977890702865767E-4</v>
      </c>
    </row>
    <row r="26" spans="2:38" x14ac:dyDescent="0.2">
      <c r="B26" s="2"/>
      <c r="C26" s="2">
        <v>1.2</v>
      </c>
      <c r="D26" s="2">
        <v>1553</v>
      </c>
      <c r="E26" s="5">
        <v>0.996790757381258</v>
      </c>
      <c r="F26" s="5">
        <f t="shared" si="1"/>
        <v>0.37499999999999994</v>
      </c>
      <c r="G26" s="6">
        <f t="shared" si="17"/>
        <v>6.2630210411103324E-5</v>
      </c>
      <c r="H26" s="4">
        <f t="shared" si="18"/>
        <v>3.3375014630146601E-3</v>
      </c>
      <c r="M26">
        <v>0.32</v>
      </c>
      <c r="N26">
        <v>1424</v>
      </c>
      <c r="O26">
        <f t="shared" si="3"/>
        <v>0.8947255877423731</v>
      </c>
      <c r="P26">
        <f t="shared" si="12"/>
        <v>0.48120300751879697</v>
      </c>
      <c r="Q26">
        <f t="shared" si="4"/>
        <v>5.6217266668604991E-5</v>
      </c>
      <c r="R26">
        <f t="shared" si="5"/>
        <v>1.511259491897878E-2</v>
      </c>
      <c r="V26">
        <v>1.0203892938859647</v>
      </c>
      <c r="W26">
        <v>0.37499999999999994</v>
      </c>
      <c r="AB26">
        <v>4</v>
      </c>
      <c r="AC26">
        <f>50*1.2</f>
        <v>60</v>
      </c>
      <c r="AD26">
        <f t="shared" si="24"/>
        <v>270</v>
      </c>
      <c r="AE26">
        <f t="shared" si="21"/>
        <v>-9.0601248567826911</v>
      </c>
      <c r="AF26">
        <f t="shared" si="19"/>
        <v>-1.3304385262651571E-3</v>
      </c>
      <c r="AG26">
        <f t="shared" si="22"/>
        <v>8.3506341009579401</v>
      </c>
      <c r="AH26">
        <f t="shared" si="20"/>
        <v>9.4790534673208529E-4</v>
      </c>
    </row>
    <row r="27" spans="2:38" x14ac:dyDescent="0.2">
      <c r="B27" s="2"/>
      <c r="C27" s="2">
        <v>1</v>
      </c>
      <c r="D27" s="2">
        <v>1557</v>
      </c>
      <c r="E27" s="5">
        <v>0.99935815147625162</v>
      </c>
      <c r="F27" s="5">
        <f t="shared" si="1"/>
        <v>0.3125</v>
      </c>
      <c r="G27" s="6">
        <f t="shared" si="17"/>
        <v>6.2791524539657358E-5</v>
      </c>
      <c r="H27" s="4">
        <f t="shared" si="18"/>
        <v>3.2740341043437913E-3</v>
      </c>
      <c r="M27">
        <v>0.28000000000000003</v>
      </c>
      <c r="N27">
        <v>1402</v>
      </c>
      <c r="O27">
        <f t="shared" si="3"/>
        <v>0.88090258006657796</v>
      </c>
      <c r="P27">
        <f t="shared" si="12"/>
        <v>0.4210526315789474</v>
      </c>
      <c r="Q27">
        <f t="shared" si="4"/>
        <v>5.5348741481309125E-5</v>
      </c>
      <c r="R27">
        <f t="shared" si="5"/>
        <v>1.5095050009709662E-2</v>
      </c>
      <c r="V27">
        <v>1.0279291162545803</v>
      </c>
      <c r="W27">
        <v>0.3125</v>
      </c>
    </row>
    <row r="28" spans="2:38" x14ac:dyDescent="0.2">
      <c r="B28">
        <f>0.5</f>
        <v>0.5</v>
      </c>
      <c r="C28">
        <v>0.7</v>
      </c>
      <c r="M28">
        <v>0.24</v>
      </c>
      <c r="N28">
        <v>1374</v>
      </c>
      <c r="O28">
        <f t="shared" si="3"/>
        <v>0.86330966120647512</v>
      </c>
      <c r="P28">
        <f t="shared" si="12"/>
        <v>0.36090225563909772</v>
      </c>
      <c r="Q28">
        <f t="shared" si="4"/>
        <v>5.4243345788387116E-5</v>
      </c>
      <c r="R28">
        <f t="shared" si="5"/>
        <v>1.5079827909873368E-2</v>
      </c>
    </row>
    <row r="29" spans="2:38" x14ac:dyDescent="0.2">
      <c r="B29">
        <f>2</f>
        <v>2</v>
      </c>
      <c r="C29">
        <v>0.7</v>
      </c>
      <c r="M29">
        <v>0.64</v>
      </c>
      <c r="N29">
        <v>1610</v>
      </c>
      <c r="O29">
        <f t="shared" si="3"/>
        <v>1.0115928344559133</v>
      </c>
      <c r="P29">
        <f t="shared" si="12"/>
        <v>0.96240601503759393</v>
      </c>
      <c r="Q29">
        <f t="shared" si="4"/>
        <v>6.3560252343015469E-5</v>
      </c>
      <c r="R29">
        <f t="shared" si="5"/>
        <v>1.5335397033361758E-2</v>
      </c>
    </row>
    <row r="30" spans="2:38" x14ac:dyDescent="0.2">
      <c r="M30">
        <v>0.6</v>
      </c>
      <c r="N30">
        <v>1631</v>
      </c>
      <c r="O30">
        <f t="shared" si="3"/>
        <v>1.0247875236009905</v>
      </c>
      <c r="P30">
        <f t="shared" si="12"/>
        <v>0.90225563909774431</v>
      </c>
      <c r="Q30">
        <f t="shared" si="4"/>
        <v>6.4389299112706971E-5</v>
      </c>
      <c r="R30">
        <f t="shared" si="5"/>
        <v>1.5299643417386941E-2</v>
      </c>
      <c r="AA30" t="s">
        <v>3</v>
      </c>
      <c r="AB30" s="1" t="s">
        <v>20</v>
      </c>
      <c r="AC30" t="s">
        <v>21</v>
      </c>
      <c r="AD30" s="1" t="s">
        <v>20</v>
      </c>
      <c r="AE30" t="s">
        <v>21</v>
      </c>
    </row>
    <row r="31" spans="2:38" x14ac:dyDescent="0.2">
      <c r="D31" t="s">
        <v>3</v>
      </c>
      <c r="E31" t="s">
        <v>18</v>
      </c>
      <c r="F31" s="1" t="s">
        <v>16</v>
      </c>
      <c r="G31" s="1" t="s">
        <v>15</v>
      </c>
      <c r="H31" s="1" t="s">
        <v>17</v>
      </c>
      <c r="I31" s="1" t="s">
        <v>19</v>
      </c>
      <c r="J31" s="1" t="s">
        <v>20</v>
      </c>
      <c r="K31" t="s">
        <v>21</v>
      </c>
      <c r="M31">
        <v>0.56000000000000005</v>
      </c>
      <c r="N31">
        <v>1648</v>
      </c>
      <c r="O31">
        <f t="shared" si="3"/>
        <v>1.0354689386231957</v>
      </c>
      <c r="P31">
        <f t="shared" si="12"/>
        <v>0.8421052631578948</v>
      </c>
      <c r="Q31">
        <f t="shared" si="4"/>
        <v>6.5060432211981039E-5</v>
      </c>
      <c r="R31">
        <f t="shared" si="5"/>
        <v>1.5266120679884927E-2</v>
      </c>
      <c r="AA31">
        <v>0</v>
      </c>
      <c r="AB31">
        <f>AVERAGE(AE6:AE12)</f>
        <v>31.980512613004088</v>
      </c>
      <c r="AC31">
        <f>AVERAGE(AF6:AF12)+STDEVA(AE6:AE12)</f>
        <v>5.9564267064211158</v>
      </c>
      <c r="AD31">
        <f>AVERAGE(AG6:AG12)</f>
        <v>-37.039295257526803</v>
      </c>
      <c r="AE31">
        <f>AVERAGE(AH6:AH12)+STDEVA(AG6:AG12)</f>
        <v>3.7829242226128512</v>
      </c>
    </row>
    <row r="32" spans="2:38" x14ac:dyDescent="0.2">
      <c r="D32">
        <v>0</v>
      </c>
      <c r="E32">
        <f>0.7*E3</f>
        <v>2.2399999999999998</v>
      </c>
      <c r="F32">
        <v>1</v>
      </c>
      <c r="G32">
        <v>2</v>
      </c>
      <c r="H32">
        <f>G32-F32</f>
        <v>1</v>
      </c>
      <c r="I32">
        <f>2*G3</f>
        <v>0</v>
      </c>
      <c r="J32">
        <f>B3/H32</f>
        <v>1591.5494309189535</v>
      </c>
      <c r="K32">
        <f>J32*SQRT((I32/H32)^2+(H3/B3)^2)</f>
        <v>0.10000000000000002</v>
      </c>
      <c r="M32">
        <v>0.52</v>
      </c>
      <c r="N32">
        <v>1666</v>
      </c>
      <c r="O32">
        <f t="shared" si="3"/>
        <v>1.046778672176119</v>
      </c>
      <c r="P32">
        <f t="shared" si="12"/>
        <v>0.78195488721804507</v>
      </c>
      <c r="Q32">
        <f t="shared" si="4"/>
        <v>6.5771043728859486E-5</v>
      </c>
      <c r="R32">
        <f t="shared" si="5"/>
        <v>1.5234843547332429E-2</v>
      </c>
      <c r="AA32">
        <v>100</v>
      </c>
      <c r="AB32">
        <f>AVERAGE(AE19:AE22)</f>
        <v>7.1547278948345516</v>
      </c>
      <c r="AC32">
        <f>AVERAGE(AF19:AF25)+STDEVA(AE19:AE25)</f>
        <v>6.8918397944861738</v>
      </c>
      <c r="AD32">
        <f>AVERAGE(AG23:AG26)</f>
        <v>8.2402907346624463</v>
      </c>
      <c r="AE32">
        <f>AVERAGE(AH19:AH25)+STDEVA(AG19:AG25)</f>
        <v>13.062974293496433</v>
      </c>
    </row>
    <row r="33" spans="3:34" x14ac:dyDescent="0.2">
      <c r="D33">
        <v>100</v>
      </c>
      <c r="E33">
        <f>0.7*L3</f>
        <v>0.46549999999999997</v>
      </c>
      <c r="F33">
        <v>1</v>
      </c>
      <c r="G33">
        <v>2</v>
      </c>
      <c r="H33">
        <f>G33-F33</f>
        <v>1</v>
      </c>
      <c r="I33">
        <f>2*G3</f>
        <v>0</v>
      </c>
      <c r="J33">
        <f>B3/H33</f>
        <v>1591.5494309189535</v>
      </c>
      <c r="K33">
        <f>J33*SQRT((I33/H33)^2+(H3/B3)^2)</f>
        <v>0.10000000000000002</v>
      </c>
      <c r="M33">
        <v>0.48</v>
      </c>
      <c r="N33">
        <v>1685</v>
      </c>
      <c r="O33">
        <f t="shared" si="3"/>
        <v>1.0587167242597602</v>
      </c>
      <c r="P33">
        <f t="shared" si="12"/>
        <v>0.72180451127819545</v>
      </c>
      <c r="Q33">
        <f t="shared" si="4"/>
        <v>6.6521133663342271E-5</v>
      </c>
      <c r="R33">
        <f t="shared" si="5"/>
        <v>1.5205825876809537E-2</v>
      </c>
    </row>
    <row r="34" spans="3:34" x14ac:dyDescent="0.2">
      <c r="M34">
        <v>0.44</v>
      </c>
      <c r="N34">
        <v>1707</v>
      </c>
      <c r="O34">
        <f t="shared" si="3"/>
        <v>1.0725397319355554</v>
      </c>
      <c r="P34">
        <f t="shared" si="12"/>
        <v>0.66165413533834583</v>
      </c>
      <c r="Q34">
        <f t="shared" si="4"/>
        <v>6.7389658850638151E-5</v>
      </c>
      <c r="R34">
        <f t="shared" si="5"/>
        <v>1.5179080626483021E-2</v>
      </c>
    </row>
    <row r="35" spans="3:34" x14ac:dyDescent="0.2">
      <c r="M35">
        <v>0.4</v>
      </c>
      <c r="N35">
        <v>1732</v>
      </c>
      <c r="O35">
        <f t="shared" si="3"/>
        <v>1.0882476952035043</v>
      </c>
      <c r="P35">
        <f t="shared" si="12"/>
        <v>0.60150375939849621</v>
      </c>
      <c r="Q35">
        <f t="shared" si="4"/>
        <v>6.8376619290747072E-5</v>
      </c>
      <c r="R35">
        <f t="shared" si="5"/>
        <v>1.515461982762885E-2</v>
      </c>
      <c r="AA35" t="s">
        <v>40</v>
      </c>
      <c r="AB35">
        <v>50</v>
      </c>
      <c r="AC35">
        <v>500</v>
      </c>
      <c r="AD35">
        <v>1500</v>
      </c>
    </row>
    <row r="36" spans="3:34" x14ac:dyDescent="0.2">
      <c r="M36">
        <v>0.36</v>
      </c>
      <c r="N36">
        <v>1761</v>
      </c>
      <c r="O36">
        <f t="shared" si="3"/>
        <v>1.1064689325943251</v>
      </c>
      <c r="P36">
        <f t="shared" si="12"/>
        <v>0.54135338345864659</v>
      </c>
      <c r="Q36">
        <f t="shared" si="4"/>
        <v>6.9521493401273438E-5</v>
      </c>
      <c r="R36">
        <f t="shared" si="5"/>
        <v>1.5132454558329874E-2</v>
      </c>
      <c r="AA36" t="s">
        <v>39</v>
      </c>
      <c r="AB36">
        <v>21.44</v>
      </c>
      <c r="AC36">
        <v>21.65</v>
      </c>
      <c r="AD36">
        <v>22.8</v>
      </c>
    </row>
    <row r="37" spans="3:34" x14ac:dyDescent="0.2">
      <c r="M37">
        <v>0.32</v>
      </c>
      <c r="N37">
        <v>1799</v>
      </c>
      <c r="O37">
        <f t="shared" si="3"/>
        <v>1.1303450367616075</v>
      </c>
      <c r="P37">
        <f t="shared" si="12"/>
        <v>0.48120300751879697</v>
      </c>
      <c r="Q37">
        <f t="shared" si="4"/>
        <v>7.1021673270239022E-5</v>
      </c>
      <c r="R37">
        <f t="shared" si="5"/>
        <v>1.511259491897878E-2</v>
      </c>
      <c r="AA37" t="s">
        <v>41</v>
      </c>
      <c r="AB37">
        <v>0.1</v>
      </c>
      <c r="AC37">
        <v>99</v>
      </c>
      <c r="AD37">
        <v>99.96</v>
      </c>
      <c r="AE37" t="s">
        <v>42</v>
      </c>
    </row>
    <row r="38" spans="3:34" x14ac:dyDescent="0.2">
      <c r="M38">
        <v>0.28000000000000003</v>
      </c>
      <c r="N38">
        <v>1845</v>
      </c>
      <c r="O38">
        <f t="shared" si="3"/>
        <v>1.1592476891746337</v>
      </c>
      <c r="P38">
        <f t="shared" si="12"/>
        <v>0.4210526315789474</v>
      </c>
      <c r="Q38">
        <f t="shared" si="4"/>
        <v>7.2837680480039471E-5</v>
      </c>
      <c r="R38">
        <f t="shared" si="5"/>
        <v>1.5095050009709662E-2</v>
      </c>
      <c r="AB38" t="s">
        <v>43</v>
      </c>
    </row>
    <row r="39" spans="3:34" x14ac:dyDescent="0.2">
      <c r="C39" s="2" t="s">
        <v>3</v>
      </c>
      <c r="D39" s="2" t="s">
        <v>2</v>
      </c>
      <c r="E39" s="3" t="s">
        <v>1</v>
      </c>
      <c r="F39" s="2" t="s">
        <v>11</v>
      </c>
      <c r="G39" s="3" t="s">
        <v>13</v>
      </c>
      <c r="H39" s="3" t="s">
        <v>10</v>
      </c>
      <c r="I39" s="3" t="s">
        <v>14</v>
      </c>
      <c r="M39">
        <v>0.24</v>
      </c>
      <c r="N39">
        <v>1918</v>
      </c>
      <c r="O39">
        <f t="shared" si="3"/>
        <v>1.2051149419170446</v>
      </c>
      <c r="P39">
        <f t="shared" si="12"/>
        <v>0.36090225563909772</v>
      </c>
      <c r="Q39">
        <f t="shared" si="4"/>
        <v>7.5719604965157557E-5</v>
      </c>
      <c r="R39">
        <f t="shared" si="5"/>
        <v>1.5079827909873368E-2</v>
      </c>
    </row>
    <row r="40" spans="3:34" x14ac:dyDescent="0.2">
      <c r="C40" s="7">
        <v>0</v>
      </c>
      <c r="D40" s="5">
        <v>4.0999999999999996</v>
      </c>
      <c r="E40" s="7">
        <v>1575</v>
      </c>
      <c r="F40" s="5">
        <f t="shared" ref="F40:F61" si="25">E40/$B$3</f>
        <v>0.98960168588078479</v>
      </c>
      <c r="G40" s="5">
        <v>0.41414141414141409</v>
      </c>
      <c r="H40" s="5">
        <f>SQRT(($G$3/E40)^2+($H$3/$B$3)^2)*F40*10^5</f>
        <v>6.2178507726862957</v>
      </c>
      <c r="I40" s="4">
        <f>SQRT(($F$3/$E$3)^2+($F$3/D40)^2)*G40</f>
        <v>1.6417176292860911E-3</v>
      </c>
    </row>
    <row r="41" spans="3:34" x14ac:dyDescent="0.2">
      <c r="C41" s="5"/>
      <c r="D41" s="5">
        <v>4.4000000000000004</v>
      </c>
      <c r="E41" s="7">
        <v>1584</v>
      </c>
      <c r="F41" s="5">
        <f t="shared" si="25"/>
        <v>0.99525655265724644</v>
      </c>
      <c r="G41" s="5">
        <v>0.44444444444444448</v>
      </c>
      <c r="H41" s="5">
        <f t="shared" ref="H41:H61" si="26">SQRT(($G$3/E41)^2+($H$3/$B$3)^2)*F41*10^5</f>
        <v>6.2533813485302181</v>
      </c>
      <c r="I41" s="4">
        <f t="shared" ref="I41:I61" si="27">SQRT(($F$3/$E$3)^2+($F$3/D41)^2)*G41</f>
        <v>1.7173573874665964E-3</v>
      </c>
    </row>
    <row r="42" spans="3:34" x14ac:dyDescent="0.2">
      <c r="C42" s="5"/>
      <c r="D42" s="5">
        <v>4.9000000000000004</v>
      </c>
      <c r="E42" s="7">
        <v>1588</v>
      </c>
      <c r="F42" s="5">
        <f>E42/$B$3</f>
        <v>0.99776982678011827</v>
      </c>
      <c r="G42" s="5">
        <v>0.49494949494949497</v>
      </c>
      <c r="H42" s="5">
        <f t="shared" si="26"/>
        <v>6.2691727155719601</v>
      </c>
      <c r="I42" s="4">
        <f t="shared" si="27"/>
        <v>1.8473326879292337E-3</v>
      </c>
    </row>
    <row r="43" spans="3:34" x14ac:dyDescent="0.2">
      <c r="C43" s="5"/>
      <c r="D43" s="5">
        <v>5.4</v>
      </c>
      <c r="E43" s="7">
        <v>1591</v>
      </c>
      <c r="F43" s="5">
        <f t="shared" ref="F43:F61" si="28">E43/$B$3</f>
        <v>0.99965478237227212</v>
      </c>
      <c r="G43" s="5">
        <v>0.54545454545454553</v>
      </c>
      <c r="H43" s="5">
        <f t="shared" si="26"/>
        <v>6.2810162408532682</v>
      </c>
      <c r="I43" s="4">
        <f t="shared" si="27"/>
        <v>1.9813579326357598E-3</v>
      </c>
    </row>
    <row r="44" spans="3:34" x14ac:dyDescent="0.2">
      <c r="C44" s="5"/>
      <c r="D44" s="5">
        <v>6</v>
      </c>
      <c r="E44" s="7">
        <v>1595</v>
      </c>
      <c r="F44" s="5">
        <f t="shared" si="28"/>
        <v>1.0021680564951441</v>
      </c>
      <c r="G44" s="5">
        <v>0.60606060606060608</v>
      </c>
      <c r="H44" s="5">
        <f t="shared" si="26"/>
        <v>6.2968076078950119</v>
      </c>
      <c r="I44" s="4">
        <f t="shared" si="27"/>
        <v>2.1464646464646464E-3</v>
      </c>
    </row>
    <row r="45" spans="3:34" x14ac:dyDescent="0.2">
      <c r="C45" s="5"/>
      <c r="D45" s="5">
        <v>6.8</v>
      </c>
      <c r="E45" s="7">
        <v>1600</v>
      </c>
      <c r="F45" s="5">
        <f t="shared" si="28"/>
        <v>1.0053096491487337</v>
      </c>
      <c r="G45" s="5">
        <v>0.68686868686868685</v>
      </c>
      <c r="H45" s="5">
        <f t="shared" si="26"/>
        <v>6.3165468166971888</v>
      </c>
      <c r="I45" s="4">
        <f t="shared" si="27"/>
        <v>2.372259372229285E-3</v>
      </c>
    </row>
    <row r="46" spans="3:34" x14ac:dyDescent="0.2">
      <c r="C46" s="5"/>
      <c r="D46" s="5">
        <v>7.8</v>
      </c>
      <c r="E46" s="7">
        <v>1605</v>
      </c>
      <c r="F46" s="5">
        <f t="shared" si="28"/>
        <v>1.0084512418023235</v>
      </c>
      <c r="G46" s="5">
        <v>0.78787878787878785</v>
      </c>
      <c r="H46" s="5">
        <f t="shared" si="26"/>
        <v>6.3362860254993683</v>
      </c>
      <c r="I46" s="4">
        <f t="shared" si="27"/>
        <v>2.6612675389340898E-3</v>
      </c>
    </row>
    <row r="47" spans="3:34" x14ac:dyDescent="0.2">
      <c r="C47" s="5"/>
      <c r="D47" s="5">
        <v>8.6</v>
      </c>
      <c r="E47" s="7">
        <v>1609</v>
      </c>
      <c r="F47" s="5">
        <f t="shared" si="28"/>
        <v>1.0109645159251954</v>
      </c>
      <c r="G47" s="5">
        <v>0.86868686868686862</v>
      </c>
      <c r="H47" s="5">
        <f t="shared" si="26"/>
        <v>6.352077392541112</v>
      </c>
      <c r="I47" s="4">
        <f t="shared" si="27"/>
        <v>2.8964822593319345E-3</v>
      </c>
    </row>
    <row r="48" spans="3:34" x14ac:dyDescent="0.2">
      <c r="C48" s="5"/>
      <c r="D48" s="5">
        <v>9.5</v>
      </c>
      <c r="E48" s="7">
        <v>1615</v>
      </c>
      <c r="F48" s="5">
        <f t="shared" si="28"/>
        <v>1.0147344271095031</v>
      </c>
      <c r="G48" s="5">
        <v>0.95959595959595956</v>
      </c>
      <c r="H48" s="5">
        <f t="shared" si="26"/>
        <v>6.3757644431037255</v>
      </c>
      <c r="I48" s="4">
        <f t="shared" si="27"/>
        <v>3.1642897919211509E-3</v>
      </c>
      <c r="L48" s="2" t="s">
        <v>3</v>
      </c>
      <c r="M48" s="7">
        <v>0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spans="3:34" x14ac:dyDescent="0.2">
      <c r="C49" s="5"/>
      <c r="D49" s="5">
        <v>9.8000000000000007</v>
      </c>
      <c r="E49" s="7">
        <v>1624</v>
      </c>
      <c r="F49" s="5">
        <f t="shared" si="28"/>
        <v>1.0203892938859647</v>
      </c>
      <c r="G49" s="5">
        <v>0.98989898989898994</v>
      </c>
      <c r="H49" s="5">
        <f t="shared" si="26"/>
        <v>6.411295018947647</v>
      </c>
      <c r="I49" s="4">
        <f t="shared" si="27"/>
        <v>3.2541727194090589E-3</v>
      </c>
      <c r="L49" s="2" t="s">
        <v>2</v>
      </c>
      <c r="M49" s="5">
        <v>4.0999999999999996</v>
      </c>
      <c r="N49" s="5">
        <v>4.4000000000000004</v>
      </c>
      <c r="O49" s="5">
        <v>4.9000000000000004</v>
      </c>
      <c r="P49" s="5">
        <v>5.4</v>
      </c>
      <c r="Q49" s="5">
        <v>6</v>
      </c>
      <c r="R49" s="5">
        <v>6.8</v>
      </c>
      <c r="S49" s="5">
        <v>7.8</v>
      </c>
      <c r="T49" s="5">
        <v>8.6</v>
      </c>
      <c r="U49" s="5">
        <v>9.5</v>
      </c>
      <c r="V49" s="5">
        <v>9.8000000000000007</v>
      </c>
      <c r="W49" s="5">
        <v>9.8000000000000007</v>
      </c>
      <c r="X49" s="5">
        <v>9</v>
      </c>
      <c r="Y49" s="5">
        <v>8.4</v>
      </c>
      <c r="Z49" s="5">
        <v>7.2</v>
      </c>
      <c r="AA49" s="5">
        <v>6.6</v>
      </c>
      <c r="AB49" s="5">
        <v>9.9</v>
      </c>
      <c r="AC49" s="5">
        <v>9.6</v>
      </c>
      <c r="AD49" s="5">
        <v>9.4</v>
      </c>
      <c r="AE49" s="5">
        <v>9.6999999999999993</v>
      </c>
      <c r="AF49" s="5">
        <v>9.6999999999999993</v>
      </c>
      <c r="AG49" s="5">
        <v>9.6</v>
      </c>
      <c r="AH49" s="5">
        <v>9.8000000000000007</v>
      </c>
    </row>
    <row r="50" spans="3:34" x14ac:dyDescent="0.2">
      <c r="C50" s="5"/>
      <c r="D50" s="5">
        <v>9.8000000000000007</v>
      </c>
      <c r="E50" s="7">
        <v>1636</v>
      </c>
      <c r="F50" s="5">
        <f t="shared" si="28"/>
        <v>1.0279291162545803</v>
      </c>
      <c r="G50" s="5">
        <v>0.98989898989898994</v>
      </c>
      <c r="H50" s="5">
        <f t="shared" si="26"/>
        <v>6.4586691200728765</v>
      </c>
      <c r="I50" s="4">
        <f t="shared" si="27"/>
        <v>3.2541727194090589E-3</v>
      </c>
      <c r="L50" s="3" t="s">
        <v>1</v>
      </c>
      <c r="M50" s="7">
        <v>1575</v>
      </c>
      <c r="N50" s="7">
        <v>1584</v>
      </c>
      <c r="O50" s="7">
        <v>1588</v>
      </c>
      <c r="P50" s="7">
        <v>1591</v>
      </c>
      <c r="Q50" s="7">
        <v>1595</v>
      </c>
      <c r="R50" s="7">
        <v>1600</v>
      </c>
      <c r="S50" s="7">
        <v>1605</v>
      </c>
      <c r="T50" s="7">
        <v>1609</v>
      </c>
      <c r="U50" s="7">
        <v>1615</v>
      </c>
      <c r="V50" s="7">
        <v>1624</v>
      </c>
      <c r="W50" s="7">
        <v>1636</v>
      </c>
      <c r="X50" s="7">
        <v>1566</v>
      </c>
      <c r="Y50" s="7">
        <v>1562</v>
      </c>
      <c r="Z50" s="7">
        <v>1560</v>
      </c>
      <c r="AA50" s="7">
        <v>1556</v>
      </c>
      <c r="AB50" s="7">
        <v>1553</v>
      </c>
      <c r="AC50" s="7">
        <v>1550</v>
      </c>
      <c r="AD50" s="7">
        <v>1546</v>
      </c>
      <c r="AE50" s="7">
        <v>1541</v>
      </c>
      <c r="AF50" s="7">
        <v>1535</v>
      </c>
      <c r="AG50" s="7">
        <v>1527</v>
      </c>
      <c r="AH50" s="7">
        <v>1517</v>
      </c>
    </row>
    <row r="51" spans="3:34" x14ac:dyDescent="0.2">
      <c r="C51" s="5"/>
      <c r="D51" s="5">
        <v>9</v>
      </c>
      <c r="E51" s="7">
        <v>1566</v>
      </c>
      <c r="F51" s="5">
        <f t="shared" si="28"/>
        <v>0.98394681910432313</v>
      </c>
      <c r="G51" s="5">
        <v>0.90909090909090906</v>
      </c>
      <c r="H51" s="5">
        <f t="shared" si="26"/>
        <v>6.1823201968423733</v>
      </c>
      <c r="I51" s="4">
        <f t="shared" si="27"/>
        <v>3.0151398828938262E-3</v>
      </c>
      <c r="L51" s="2" t="s">
        <v>11</v>
      </c>
      <c r="M51" s="5">
        <f>M50/$B$3</f>
        <v>0.98960168588078479</v>
      </c>
      <c r="N51" s="5">
        <f>N50/$B$3</f>
        <v>0.99525655265724644</v>
      </c>
      <c r="O51" s="5">
        <f>O50/$B$3</f>
        <v>0.99776982678011827</v>
      </c>
      <c r="P51" s="5">
        <f>P50/$B$3</f>
        <v>0.99965478237227212</v>
      </c>
      <c r="Q51" s="5">
        <f>Q50/$B$3</f>
        <v>1.0021680564951441</v>
      </c>
      <c r="R51" s="5">
        <f>R50/$B$3</f>
        <v>1.0053096491487337</v>
      </c>
      <c r="S51" s="5">
        <f>S50/$B$3</f>
        <v>1.0084512418023235</v>
      </c>
      <c r="T51" s="5">
        <f>T50/$B$3</f>
        <v>1.0109645159251954</v>
      </c>
      <c r="U51" s="5">
        <f>U50/$B$3</f>
        <v>1.0147344271095031</v>
      </c>
      <c r="V51" s="5">
        <f>V50/$B$3</f>
        <v>1.0203892938859647</v>
      </c>
      <c r="W51" s="5">
        <f>W50/$B$3</f>
        <v>1.0279291162545803</v>
      </c>
      <c r="X51" s="5">
        <f>X50/$B$3</f>
        <v>0.98394681910432313</v>
      </c>
      <c r="Y51" s="5">
        <f>Y50/$B$3</f>
        <v>0.9814335449814513</v>
      </c>
      <c r="Z51" s="5">
        <f>Z50/$B$3</f>
        <v>0.98017690792001544</v>
      </c>
      <c r="AA51" s="5">
        <f>AA50/$B$3</f>
        <v>0.97766363379714361</v>
      </c>
      <c r="AB51" s="5">
        <f>AB50/$B$3</f>
        <v>0.97577867820498976</v>
      </c>
      <c r="AC51" s="5">
        <f>AC50/$B$3</f>
        <v>0.9738937226128358</v>
      </c>
      <c r="AD51" s="5">
        <f>AD50/$B$3</f>
        <v>0.97138044848996397</v>
      </c>
      <c r="AE51" s="5">
        <f>AE50/$B$3</f>
        <v>0.96823885583637426</v>
      </c>
      <c r="AF51" s="5">
        <f>AF50/$B$3</f>
        <v>0.96446894465206645</v>
      </c>
      <c r="AG51" s="5">
        <f>AG50/$B$3</f>
        <v>0.95944239640632278</v>
      </c>
      <c r="AH51" s="5">
        <f>AH50/$B$3</f>
        <v>0.95315921109914314</v>
      </c>
    </row>
    <row r="52" spans="3:34" x14ac:dyDescent="0.2">
      <c r="C52" s="5"/>
      <c r="D52" s="5">
        <v>8.4</v>
      </c>
      <c r="E52" s="7">
        <v>1562</v>
      </c>
      <c r="F52" s="5">
        <f t="shared" si="28"/>
        <v>0.9814335449814513</v>
      </c>
      <c r="G52" s="5">
        <v>0.84848484848484851</v>
      </c>
      <c r="H52" s="5">
        <f t="shared" si="26"/>
        <v>6.1665288298006313</v>
      </c>
      <c r="I52" s="4">
        <f t="shared" si="27"/>
        <v>2.8373996280611404E-3</v>
      </c>
      <c r="L52" s="3" t="s">
        <v>13</v>
      </c>
      <c r="M52" s="5">
        <v>0.41414141414141409</v>
      </c>
      <c r="N52" s="5">
        <v>0.44444444444444448</v>
      </c>
      <c r="O52" s="5">
        <v>0.49494949494949497</v>
      </c>
      <c r="P52" s="5">
        <v>0.54545454545454553</v>
      </c>
      <c r="Q52" s="5">
        <v>0.60606060606060608</v>
      </c>
      <c r="R52" s="5">
        <v>0.68686868686868685</v>
      </c>
      <c r="S52" s="5">
        <v>0.78787878787878785</v>
      </c>
      <c r="T52" s="5">
        <v>0.86868686868686862</v>
      </c>
      <c r="U52" s="5">
        <v>0.95959595959595956</v>
      </c>
      <c r="V52" s="5">
        <v>0.98989898989898994</v>
      </c>
      <c r="W52" s="5">
        <v>0.98989898989898994</v>
      </c>
      <c r="X52" s="5">
        <v>0.90909090909090906</v>
      </c>
      <c r="Y52" s="5">
        <v>0.84848484848484851</v>
      </c>
      <c r="Z52" s="5">
        <v>0.72727272727272729</v>
      </c>
      <c r="AA52" s="5">
        <v>0.66666666666666663</v>
      </c>
      <c r="AB52" s="5">
        <v>1</v>
      </c>
      <c r="AC52" s="5">
        <v>0.96969696969696961</v>
      </c>
      <c r="AD52" s="5">
        <v>0.9494949494949495</v>
      </c>
      <c r="AE52" s="5">
        <v>0.97979797979797967</v>
      </c>
      <c r="AF52" s="5">
        <v>0.97979797979797967</v>
      </c>
      <c r="AG52" s="5">
        <v>0.96969696969696961</v>
      </c>
      <c r="AH52" s="5">
        <v>0.98989898989898994</v>
      </c>
    </row>
    <row r="53" spans="3:34" x14ac:dyDescent="0.2">
      <c r="C53" s="5"/>
      <c r="D53" s="5">
        <v>7.2</v>
      </c>
      <c r="E53" s="7">
        <v>1560</v>
      </c>
      <c r="F53" s="5">
        <f t="shared" si="28"/>
        <v>0.98017690792001544</v>
      </c>
      <c r="G53" s="5">
        <v>0.72727272727272729</v>
      </c>
      <c r="H53" s="5">
        <f t="shared" si="26"/>
        <v>6.1586331462797599</v>
      </c>
      <c r="I53" s="4">
        <f t="shared" si="27"/>
        <v>2.4870853034838648E-3</v>
      </c>
      <c r="L53" s="3" t="s">
        <v>10</v>
      </c>
      <c r="M53" s="5">
        <f>SQRT(($G$3/M50)^2+($H$3/$B$3)^2)*M51*10^5</f>
        <v>6.2178507726862957</v>
      </c>
      <c r="N53" s="5">
        <f>SQRT(($G$3/N50)^2+($H$3/$B$3)^2)*N51*10^5</f>
        <v>6.2533813485302181</v>
      </c>
      <c r="O53" s="5">
        <f>SQRT(($G$3/O50)^2+($H$3/$B$3)^2)*O51*10^5</f>
        <v>6.2691727155719601</v>
      </c>
      <c r="P53" s="5">
        <f>SQRT(($G$3/P50)^2+($H$3/$B$3)^2)*P51*10^5</f>
        <v>6.2810162408532682</v>
      </c>
      <c r="Q53" s="5">
        <f>SQRT(($G$3/Q50)^2+($H$3/$B$3)^2)*Q51*10^5</f>
        <v>6.2968076078950119</v>
      </c>
      <c r="R53" s="5">
        <f>SQRT(($G$3/R50)^2+($H$3/$B$3)^2)*R51*10^5</f>
        <v>6.3165468166971888</v>
      </c>
      <c r="S53" s="5">
        <f>SQRT(($G$3/S50)^2+($H$3/$B$3)^2)*S51*10^5</f>
        <v>6.3362860254993683</v>
      </c>
      <c r="T53" s="5">
        <f>SQRT(($G$3/T50)^2+($H$3/$B$3)^2)*T51*10^5</f>
        <v>6.352077392541112</v>
      </c>
      <c r="U53" s="5">
        <f>SQRT(($G$3/U50)^2+($H$3/$B$3)^2)*U51*10^5</f>
        <v>6.3757644431037255</v>
      </c>
      <c r="V53" s="5">
        <f>SQRT(($G$3/V50)^2+($H$3/$B$3)^2)*V51*10^5</f>
        <v>6.411295018947647</v>
      </c>
      <c r="W53" s="5">
        <f>SQRT(($G$3/W50)^2+($H$3/$B$3)^2)*W51*10^5</f>
        <v>6.4586691200728765</v>
      </c>
      <c r="X53" s="5">
        <f>SQRT(($G$3/X50)^2+($H$3/$B$3)^2)*X51*10^5</f>
        <v>6.1823201968423733</v>
      </c>
      <c r="Y53" s="5">
        <f>SQRT(($G$3/Y50)^2+($H$3/$B$3)^2)*Y51*10^5</f>
        <v>6.1665288298006313</v>
      </c>
      <c r="Z53" s="5">
        <f>SQRT(($G$3/Z50)^2+($H$3/$B$3)^2)*Z51*10^5</f>
        <v>6.1586331462797599</v>
      </c>
      <c r="AA53" s="5">
        <f>SQRT(($G$3/AA50)^2+($H$3/$B$3)^2)*AA51*10^5</f>
        <v>6.142841779238017</v>
      </c>
      <c r="AB53" s="5">
        <f>SQRT(($G$3/AB50)^2+($H$3/$B$3)^2)*AB51*10^5</f>
        <v>6.1309982539567098</v>
      </c>
      <c r="AC53" s="5">
        <f>SQRT(($G$3/AC50)^2+($H$3/$B$3)^2)*AC51*10^5</f>
        <v>6.1191547286754018</v>
      </c>
      <c r="AD53" s="5">
        <f>SQRT(($G$3/AD50)^2+($H$3/$B$3)^2)*AD51*10^5</f>
        <v>6.1033633616336598</v>
      </c>
      <c r="AE53" s="5">
        <f>SQRT(($G$3/AE50)^2+($H$3/$B$3)^2)*AE51*10^5</f>
        <v>6.0836241528314812</v>
      </c>
      <c r="AF53" s="5">
        <f>SQRT(($G$3/AF50)^2+($H$3/$B$3)^2)*AF51*10^5</f>
        <v>6.0599371022688659</v>
      </c>
      <c r="AG53" s="5">
        <f>SQRT(($G$3/AG50)^2+($H$3/$B$3)^2)*AG51*10^5</f>
        <v>6.0283543681853802</v>
      </c>
      <c r="AH53" s="5">
        <f>SQRT(($G$3/AH50)^2+($H$3/$B$3)^2)*AH51*10^5</f>
        <v>5.988875950581023</v>
      </c>
    </row>
    <row r="54" spans="3:34" x14ac:dyDescent="0.2">
      <c r="C54" s="5"/>
      <c r="D54" s="5">
        <v>6.6</v>
      </c>
      <c r="E54" s="7">
        <v>1556</v>
      </c>
      <c r="F54" s="5">
        <f t="shared" si="28"/>
        <v>0.97766363379714361</v>
      </c>
      <c r="G54" s="5">
        <v>0.66666666666666663</v>
      </c>
      <c r="H54" s="5">
        <f t="shared" si="26"/>
        <v>6.142841779238017</v>
      </c>
      <c r="I54" s="4">
        <f t="shared" si="27"/>
        <v>2.3152930329409403E-3</v>
      </c>
      <c r="L54" s="3" t="s">
        <v>14</v>
      </c>
      <c r="M54" s="4">
        <f>SQRT(($F$3/$E$3)^2+($F$3/M49)^2)*M52</f>
        <v>1.6417176292860911E-3</v>
      </c>
      <c r="N54" s="4">
        <f>SQRT(($F$3/$E$3)^2+($F$3/N49)^2)*N52</f>
        <v>1.7173573874665964E-3</v>
      </c>
      <c r="O54" s="4">
        <f>SQRT(($F$3/$E$3)^2+($F$3/O49)^2)*O52</f>
        <v>1.8473326879292337E-3</v>
      </c>
      <c r="P54" s="4">
        <f>SQRT(($F$3/$E$3)^2+($F$3/P49)^2)*P52</f>
        <v>1.9813579326357598E-3</v>
      </c>
      <c r="Q54" s="4">
        <f>SQRT(($F$3/$E$3)^2+($F$3/Q49)^2)*Q52</f>
        <v>2.1464646464646464E-3</v>
      </c>
      <c r="R54" s="4">
        <f>SQRT(($F$3/$E$3)^2+($F$3/R49)^2)*R52</f>
        <v>2.372259372229285E-3</v>
      </c>
      <c r="S54" s="4">
        <f>SQRT(($F$3/$E$3)^2+($F$3/S49)^2)*S52</f>
        <v>2.6612675389340898E-3</v>
      </c>
      <c r="T54" s="4">
        <f>SQRT(($F$3/$E$3)^2+($F$3/T49)^2)*T52</f>
        <v>2.8964822593319345E-3</v>
      </c>
      <c r="U54" s="4">
        <f>SQRT(($F$3/$E$3)^2+($F$3/U49)^2)*U52</f>
        <v>3.1642897919211509E-3</v>
      </c>
      <c r="V54" s="4">
        <f>SQRT(($F$3/$E$3)^2+($F$3/V49)^2)*V52</f>
        <v>3.2541727194090589E-3</v>
      </c>
      <c r="W54" s="4">
        <f>SQRT(($F$3/$E$3)^2+($F$3/W49)^2)*W52</f>
        <v>3.2541727194090589E-3</v>
      </c>
      <c r="X54" s="4">
        <f>SQRT(($F$3/$E$3)^2+($F$3/X49)^2)*X52</f>
        <v>3.0151398828938262E-3</v>
      </c>
      <c r="Y54" s="4">
        <f>SQRT(($F$3/$E$3)^2+($F$3/Y49)^2)*Y52</f>
        <v>2.8373996280611404E-3</v>
      </c>
      <c r="Z54" s="4">
        <f>SQRT(($F$3/$E$3)^2+($F$3/Z49)^2)*Z52</f>
        <v>2.4870853034838648E-3</v>
      </c>
      <c r="AA54" s="4">
        <f>SQRT(($F$3/$E$3)^2+($F$3/AA49)^2)*AA52</f>
        <v>2.3152930329409403E-3</v>
      </c>
      <c r="AB54" s="4">
        <f>SQRT(($F$3/$E$3)^2+($F$3/AB49)^2)*AB52</f>
        <v>3.2841938204994968E-3</v>
      </c>
      <c r="AC54" s="4">
        <f>SQRT(($F$3/$E$3)^2+($F$3/AC49)^2)*AC52</f>
        <v>3.1942198587559382E-3</v>
      </c>
      <c r="AD54" s="4">
        <f>SQRT(($F$3/$E$3)^2+($F$3/AD49)^2)*AD52</f>
        <v>3.1343918149763657E-3</v>
      </c>
      <c r="AE54" s="4">
        <f>SQRT(($F$3/$E$3)^2+($F$3/AE49)^2)*AE52</f>
        <v>3.2241811218096995E-3</v>
      </c>
      <c r="AF54" s="4">
        <f>SQRT(($F$3/$E$3)^2+($F$3/AF49)^2)*AF52</f>
        <v>3.2241811218096995E-3</v>
      </c>
      <c r="AG54" s="4">
        <f>SQRT(($F$3/$E$3)^2+($F$3/AG49)^2)*AG52</f>
        <v>3.1942198587559382E-3</v>
      </c>
      <c r="AH54" s="4">
        <f>SQRT(($F$3/$E$3)^2+($F$3/AH49)^2)*AH52</f>
        <v>3.2541727194090589E-3</v>
      </c>
    </row>
    <row r="55" spans="3:34" x14ac:dyDescent="0.2">
      <c r="C55" s="5"/>
      <c r="D55" s="5">
        <v>9.9</v>
      </c>
      <c r="E55" s="7">
        <v>1553</v>
      </c>
      <c r="F55" s="5">
        <f t="shared" si="28"/>
        <v>0.97577867820498976</v>
      </c>
      <c r="G55" s="5">
        <v>1</v>
      </c>
      <c r="H55" s="5">
        <f t="shared" si="26"/>
        <v>6.1309982539567098</v>
      </c>
      <c r="I55" s="4">
        <f t="shared" si="27"/>
        <v>3.2841938204994968E-3</v>
      </c>
    </row>
    <row r="56" spans="3:34" x14ac:dyDescent="0.2">
      <c r="C56" s="5"/>
      <c r="D56" s="5">
        <v>9.6</v>
      </c>
      <c r="E56" s="7">
        <v>1550</v>
      </c>
      <c r="F56" s="5">
        <f t="shared" si="28"/>
        <v>0.9738937226128358</v>
      </c>
      <c r="G56" s="5">
        <v>0.96969696969696961</v>
      </c>
      <c r="H56" s="5">
        <f t="shared" si="26"/>
        <v>6.1191547286754018</v>
      </c>
      <c r="I56" s="4">
        <f t="shared" si="27"/>
        <v>3.1942198587559382E-3</v>
      </c>
    </row>
    <row r="57" spans="3:34" x14ac:dyDescent="0.2">
      <c r="C57" s="5"/>
      <c r="D57" s="5">
        <v>9.4</v>
      </c>
      <c r="E57" s="7">
        <v>1546</v>
      </c>
      <c r="F57" s="5">
        <f t="shared" si="28"/>
        <v>0.97138044848996397</v>
      </c>
      <c r="G57" s="5">
        <v>0.9494949494949495</v>
      </c>
      <c r="H57" s="5">
        <f t="shared" si="26"/>
        <v>6.1033633616336598</v>
      </c>
      <c r="I57" s="4">
        <f t="shared" si="27"/>
        <v>3.1343918149763657E-3</v>
      </c>
    </row>
    <row r="58" spans="3:34" x14ac:dyDescent="0.2">
      <c r="C58" s="5"/>
      <c r="D58" s="5">
        <v>9.6999999999999993</v>
      </c>
      <c r="E58" s="7">
        <v>1541</v>
      </c>
      <c r="F58" s="5">
        <f t="shared" si="28"/>
        <v>0.96823885583637426</v>
      </c>
      <c r="G58" s="5">
        <v>0.97979797979797967</v>
      </c>
      <c r="H58" s="5">
        <f t="shared" si="26"/>
        <v>6.0836241528314812</v>
      </c>
      <c r="I58" s="4">
        <f t="shared" si="27"/>
        <v>3.2241811218096995E-3</v>
      </c>
    </row>
    <row r="59" spans="3:34" x14ac:dyDescent="0.2">
      <c r="C59" s="5"/>
      <c r="D59" s="5">
        <v>9.6999999999999993</v>
      </c>
      <c r="E59" s="7">
        <v>1535</v>
      </c>
      <c r="F59" s="5">
        <f t="shared" si="28"/>
        <v>0.96446894465206645</v>
      </c>
      <c r="G59" s="5">
        <v>0.97979797979797967</v>
      </c>
      <c r="H59" s="5">
        <f t="shared" si="26"/>
        <v>6.0599371022688659</v>
      </c>
      <c r="I59" s="4">
        <f t="shared" si="27"/>
        <v>3.2241811218096995E-3</v>
      </c>
    </row>
    <row r="60" spans="3:34" x14ac:dyDescent="0.2">
      <c r="C60" s="5"/>
      <c r="D60" s="5">
        <v>9.6</v>
      </c>
      <c r="E60" s="7">
        <v>1527</v>
      </c>
      <c r="F60" s="5">
        <f t="shared" si="28"/>
        <v>0.95944239640632278</v>
      </c>
      <c r="G60" s="5">
        <v>0.96969696969696961</v>
      </c>
      <c r="H60" s="5">
        <f t="shared" si="26"/>
        <v>6.0283543681853802</v>
      </c>
      <c r="I60" s="4">
        <f t="shared" si="27"/>
        <v>3.1942198587559382E-3</v>
      </c>
    </row>
    <row r="61" spans="3:34" x14ac:dyDescent="0.2">
      <c r="C61" s="5"/>
      <c r="D61" s="5">
        <v>9.8000000000000007</v>
      </c>
      <c r="E61" s="7">
        <v>1517</v>
      </c>
      <c r="F61" s="5">
        <f t="shared" si="28"/>
        <v>0.95315921109914314</v>
      </c>
      <c r="G61" s="5">
        <v>0.98989898989898994</v>
      </c>
      <c r="H61" s="5">
        <f t="shared" si="26"/>
        <v>5.988875950581023</v>
      </c>
      <c r="I61" s="4">
        <f t="shared" si="27"/>
        <v>3.2541727194090589E-3</v>
      </c>
    </row>
  </sheetData>
  <sortState ref="V6:W27">
    <sortCondition ref="V6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Наташа</dc:creator>
  <cp:lastModifiedBy>User</cp:lastModifiedBy>
  <dcterms:created xsi:type="dcterms:W3CDTF">2016-11-08T17:27:36Z</dcterms:created>
  <dcterms:modified xsi:type="dcterms:W3CDTF">2016-11-18T23:42:49Z</dcterms:modified>
</cp:coreProperties>
</file>